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Assignments\6. Ashiwini Mittal Sir- Nabcons\6. Waxing plant\"/>
    </mc:Choice>
  </mc:AlternateContent>
  <xr:revisionPtr revIDLastSave="0" documentId="13_ncr:1_{6E410356-B27D-404F-A40D-7908996B6CFE}" xr6:coauthVersionLast="47" xr6:coauthVersionMax="47" xr10:uidLastSave="{00000000-0000-0000-0000-000000000000}"/>
  <bookViews>
    <workbookView xWindow="-110" yWindow="-110" windowWidth="19420" windowHeight="11020" firstSheet="4" activeTab="11" xr2:uid="{8B0049CE-B79C-4EF0-8FA8-FBBF9BECEBD1}"/>
  </bookViews>
  <sheets>
    <sheet name="Contents" sheetId="21" r:id="rId1"/>
    <sheet name="Ann 1" sheetId="1" r:id="rId2"/>
    <sheet name="Ann 2" sheetId="2" r:id="rId3"/>
    <sheet name="Ann 3" sheetId="3" r:id="rId4"/>
    <sheet name="Ann 4" sheetId="4" r:id="rId5"/>
    <sheet name="Ann 5" sheetId="7" r:id="rId6"/>
    <sheet name="Ann 8" sheetId="9" r:id="rId7"/>
    <sheet name="Ann 9" sheetId="10" r:id="rId8"/>
    <sheet name="Ann 10" sheetId="13" r:id="rId9"/>
    <sheet name="Ann 11" sheetId="11" r:id="rId10"/>
    <sheet name="Ann 12" sheetId="12" state="hidden" r:id="rId11"/>
    <sheet name="Ann 13" sheetId="14" r:id="rId12"/>
    <sheet name="Ann 14" sheetId="18" r:id="rId13"/>
    <sheet name="Budgets" sheetId="19" r:id="rId14"/>
    <sheet name="For word file" sheetId="20" state="hidden" r:id="rId15"/>
    <sheet name="Assumptions" sheetId="22" r:id="rId16"/>
    <sheet name="Sheet1" sheetId="15" state="hidden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1" l="1"/>
  <c r="D22" i="11"/>
  <c r="D24" i="11" s="1"/>
  <c r="B19" i="19"/>
  <c r="D27" i="4"/>
  <c r="E27" i="4"/>
  <c r="F27" i="4"/>
  <c r="G27" i="4"/>
  <c r="H27" i="4"/>
  <c r="I27" i="4"/>
  <c r="J27" i="4"/>
  <c r="K27" i="4"/>
  <c r="C27" i="4"/>
  <c r="G5" i="3"/>
  <c r="G4" i="3"/>
  <c r="B17" i="19"/>
  <c r="B16" i="19"/>
  <c r="G10" i="3"/>
  <c r="G13" i="3"/>
  <c r="G12" i="3"/>
  <c r="G11" i="3"/>
  <c r="G9" i="3"/>
  <c r="G8" i="3"/>
  <c r="C7" i="2"/>
  <c r="F23" i="7" s="1"/>
  <c r="C11" i="1"/>
  <c r="D10" i="11"/>
  <c r="A12" i="21"/>
  <c r="A10" i="21"/>
  <c r="A9" i="21"/>
  <c r="D7" i="22"/>
  <c r="E6" i="22"/>
  <c r="E7" i="22" s="1"/>
  <c r="A8" i="21"/>
  <c r="K47" i="7"/>
  <c r="J47" i="7"/>
  <c r="E8" i="9"/>
  <c r="A14" i="21"/>
  <c r="B4" i="18" l="1"/>
  <c r="B20" i="19"/>
  <c r="G17" i="3"/>
  <c r="C19" i="1" s="1"/>
  <c r="E23" i="7"/>
  <c r="C23" i="7"/>
  <c r="D23" i="7"/>
  <c r="K23" i="7"/>
  <c r="K34" i="7" s="1"/>
  <c r="J23" i="7"/>
  <c r="J34" i="7" s="1"/>
  <c r="I23" i="7"/>
  <c r="I34" i="7" s="1"/>
  <c r="H23" i="7"/>
  <c r="G23" i="7"/>
  <c r="F6" i="22"/>
  <c r="F7" i="22" s="1"/>
  <c r="G6" i="22"/>
  <c r="A15" i="21"/>
  <c r="A13" i="21"/>
  <c r="A11" i="21"/>
  <c r="A7" i="21"/>
  <c r="A6" i="21"/>
  <c r="A5" i="21"/>
  <c r="A4" i="21"/>
  <c r="C23" i="11"/>
  <c r="C22" i="11"/>
  <c r="C24" i="11" s="1"/>
  <c r="C22" i="18"/>
  <c r="K22" i="18"/>
  <c r="J22" i="18"/>
  <c r="I22" i="18"/>
  <c r="H22" i="18"/>
  <c r="G22" i="18"/>
  <c r="F22" i="18"/>
  <c r="E22" i="18"/>
  <c r="D22" i="18"/>
  <c r="G19" i="3" l="1"/>
  <c r="F9" i="19"/>
  <c r="G9" i="19"/>
  <c r="H9" i="19"/>
  <c r="I9" i="19"/>
  <c r="J9" i="19"/>
  <c r="C9" i="19"/>
  <c r="B9" i="19"/>
  <c r="D9" i="19"/>
  <c r="E9" i="19"/>
  <c r="G7" i="22"/>
  <c r="H6" i="22"/>
  <c r="C44" i="4"/>
  <c r="C8" i="4" s="1"/>
  <c r="I41" i="7"/>
  <c r="J41" i="7"/>
  <c r="K41" i="7"/>
  <c r="E10" i="19" l="1"/>
  <c r="E39" i="19"/>
  <c r="F39" i="19"/>
  <c r="D10" i="19"/>
  <c r="D39" i="19"/>
  <c r="B10" i="19"/>
  <c r="B39" i="19"/>
  <c r="B40" i="19" s="1"/>
  <c r="C10" i="19"/>
  <c r="C39" i="19"/>
  <c r="J39" i="19"/>
  <c r="I39" i="19"/>
  <c r="H39" i="19"/>
  <c r="G39" i="19"/>
  <c r="H7" i="22"/>
  <c r="I6" i="22"/>
  <c r="D43" i="4"/>
  <c r="D44" i="4" s="1"/>
  <c r="D8" i="4" s="1"/>
  <c r="B18" i="19"/>
  <c r="C6" i="19" l="1"/>
  <c r="E6" i="19"/>
  <c r="D6" i="19"/>
  <c r="F6" i="19"/>
  <c r="I6" i="19"/>
  <c r="J6" i="19"/>
  <c r="G6" i="19"/>
  <c r="C31" i="11"/>
  <c r="D31" i="11" s="1"/>
  <c r="H6" i="19"/>
  <c r="B11" i="19"/>
  <c r="B41" i="19"/>
  <c r="B42" i="19" s="1"/>
  <c r="D11" i="19"/>
  <c r="D41" i="19"/>
  <c r="C11" i="19"/>
  <c r="C41" i="19"/>
  <c r="E11" i="19"/>
  <c r="E41" i="19"/>
  <c r="B6" i="19"/>
  <c r="C7" i="4" s="1"/>
  <c r="C9" i="4" s="1"/>
  <c r="B23" i="19"/>
  <c r="I7" i="22"/>
  <c r="J6" i="22"/>
  <c r="E43" i="4"/>
  <c r="E44" i="4" s="1"/>
  <c r="E8" i="4" s="1"/>
  <c r="D9" i="11" l="1"/>
  <c r="D25" i="11"/>
  <c r="C38" i="19"/>
  <c r="C40" i="19" s="1"/>
  <c r="B43" i="19"/>
  <c r="C42" i="19"/>
  <c r="C25" i="11"/>
  <c r="B8" i="19"/>
  <c r="C8" i="19" s="1"/>
  <c r="D8" i="19" s="1"/>
  <c r="E8" i="19" s="1"/>
  <c r="F8" i="19" s="1"/>
  <c r="G8" i="19" s="1"/>
  <c r="H8" i="19" s="1"/>
  <c r="I8" i="19" s="1"/>
  <c r="J8" i="19" s="1"/>
  <c r="J7" i="22"/>
  <c r="K6" i="22"/>
  <c r="F43" i="4"/>
  <c r="F44" i="4" s="1"/>
  <c r="F8" i="4" s="1"/>
  <c r="B29" i="19"/>
  <c r="B30" i="19" s="1"/>
  <c r="B7" i="19"/>
  <c r="D38" i="19" l="1"/>
  <c r="D40" i="19" s="1"/>
  <c r="D42" i="19" s="1"/>
  <c r="C43" i="19"/>
  <c r="C18" i="4"/>
  <c r="C17" i="4"/>
  <c r="D12" i="19"/>
  <c r="E22" i="4" s="1"/>
  <c r="C12" i="19"/>
  <c r="D22" i="4" s="1"/>
  <c r="G7" i="4"/>
  <c r="G9" i="4" s="1"/>
  <c r="J7" i="4"/>
  <c r="F7" i="4"/>
  <c r="F9" i="4" s="1"/>
  <c r="I7" i="4"/>
  <c r="I9" i="4" s="1"/>
  <c r="D7" i="4"/>
  <c r="D9" i="4" s="1"/>
  <c r="K7" i="4"/>
  <c r="E12" i="19"/>
  <c r="F22" i="4" s="1"/>
  <c r="F13" i="7" s="1"/>
  <c r="E7" i="4"/>
  <c r="E9" i="4" s="1"/>
  <c r="B12" i="19"/>
  <c r="H7" i="4"/>
  <c r="H9" i="4" s="1"/>
  <c r="C7" i="19"/>
  <c r="C29" i="19"/>
  <c r="F29" i="19"/>
  <c r="D7" i="19"/>
  <c r="D29" i="19"/>
  <c r="G29" i="19"/>
  <c r="I29" i="19"/>
  <c r="H29" i="19"/>
  <c r="F24" i="7"/>
  <c r="E7" i="19"/>
  <c r="J29" i="19"/>
  <c r="E29" i="19"/>
  <c r="C3" i="20"/>
  <c r="D3" i="20"/>
  <c r="D7" i="11"/>
  <c r="D8" i="11" s="1"/>
  <c r="C24" i="7"/>
  <c r="K7" i="22"/>
  <c r="L6" i="22"/>
  <c r="L7" i="22" s="1"/>
  <c r="G43" i="4"/>
  <c r="G44" i="4" s="1"/>
  <c r="G8" i="4" s="1"/>
  <c r="B31" i="19"/>
  <c r="B32" i="19" s="1"/>
  <c r="B33" i="19" s="1"/>
  <c r="C12" i="4" s="1"/>
  <c r="E38" i="19" l="1"/>
  <c r="E40" i="19" s="1"/>
  <c r="E42" i="19" s="1"/>
  <c r="D43" i="19"/>
  <c r="C22" i="4"/>
  <c r="C13" i="7" s="1"/>
  <c r="E5" i="11"/>
  <c r="J24" i="7"/>
  <c r="J9" i="4"/>
  <c r="K24" i="7"/>
  <c r="K9" i="4"/>
  <c r="E18" i="4"/>
  <c r="E17" i="4"/>
  <c r="F18" i="4"/>
  <c r="F17" i="4"/>
  <c r="D17" i="4"/>
  <c r="D18" i="4"/>
  <c r="I24" i="7"/>
  <c r="E24" i="7"/>
  <c r="H24" i="7"/>
  <c r="G24" i="7"/>
  <c r="D24" i="7"/>
  <c r="E31" i="19"/>
  <c r="D31" i="19"/>
  <c r="C31" i="19"/>
  <c r="D13" i="7"/>
  <c r="D8" i="18" s="1"/>
  <c r="E3" i="20"/>
  <c r="E13" i="7"/>
  <c r="E8" i="18" s="1"/>
  <c r="B3" i="20"/>
  <c r="C8" i="18"/>
  <c r="H43" i="4"/>
  <c r="H44" i="4" s="1"/>
  <c r="H8" i="4" s="1"/>
  <c r="C28" i="19"/>
  <c r="F38" i="19" l="1"/>
  <c r="F40" i="19" s="1"/>
  <c r="F10" i="19" s="1"/>
  <c r="E43" i="19"/>
  <c r="C32" i="19"/>
  <c r="C33" i="19" s="1"/>
  <c r="D12" i="4" s="1"/>
  <c r="C30" i="19"/>
  <c r="I43" i="4"/>
  <c r="D11" i="4"/>
  <c r="C12" i="7"/>
  <c r="F11" i="19" l="1"/>
  <c r="F12" i="19" s="1"/>
  <c r="G22" i="4" s="1"/>
  <c r="F41" i="19"/>
  <c r="F42" i="19" s="1"/>
  <c r="I44" i="4"/>
  <c r="I8" i="4" s="1"/>
  <c r="J43" i="4"/>
  <c r="K43" i="4" s="1"/>
  <c r="D11" i="11" s="1"/>
  <c r="D28" i="19"/>
  <c r="D32" i="19" s="1"/>
  <c r="D33" i="19" s="1"/>
  <c r="E12" i="4" s="1"/>
  <c r="E11" i="4"/>
  <c r="D12" i="7"/>
  <c r="G38" i="19" l="1"/>
  <c r="G40" i="19" s="1"/>
  <c r="G10" i="19" s="1"/>
  <c r="F43" i="19"/>
  <c r="G13" i="7"/>
  <c r="F3" i="20"/>
  <c r="J44" i="4"/>
  <c r="J8" i="4" s="1"/>
  <c r="D30" i="19"/>
  <c r="E12" i="7"/>
  <c r="E28" i="19"/>
  <c r="E32" i="19" s="1"/>
  <c r="E33" i="19" s="1"/>
  <c r="F12" i="4" s="1"/>
  <c r="C12" i="1"/>
  <c r="C6" i="10" s="1"/>
  <c r="C35" i="1"/>
  <c r="C31" i="4" s="1"/>
  <c r="J28" i="4"/>
  <c r="K28" i="4"/>
  <c r="K12" i="18" s="1"/>
  <c r="D9" i="18"/>
  <c r="G11" i="19" l="1"/>
  <c r="G12" i="19" s="1"/>
  <c r="H22" i="4" s="1"/>
  <c r="G41" i="19"/>
  <c r="G42" i="19" s="1"/>
  <c r="E30" i="19"/>
  <c r="F11" i="4"/>
  <c r="F28" i="19"/>
  <c r="K44" i="4"/>
  <c r="G11" i="4"/>
  <c r="F12" i="7"/>
  <c r="J12" i="18"/>
  <c r="J46" i="7"/>
  <c r="K46" i="7"/>
  <c r="C29" i="7"/>
  <c r="E6" i="9"/>
  <c r="E17" i="9"/>
  <c r="G3" i="20" l="1"/>
  <c r="H13" i="7"/>
  <c r="H38" i="19"/>
  <c r="H40" i="19" s="1"/>
  <c r="H10" i="19" s="1"/>
  <c r="G43" i="19"/>
  <c r="K8" i="4"/>
  <c r="D28" i="11"/>
  <c r="D29" i="11" s="1"/>
  <c r="D30" i="11" s="1"/>
  <c r="D32" i="11" s="1"/>
  <c r="C28" i="11"/>
  <c r="F30" i="19"/>
  <c r="F7" i="19" s="1"/>
  <c r="E9" i="18"/>
  <c r="H41" i="19" l="1"/>
  <c r="H42" i="19" s="1"/>
  <c r="H11" i="19"/>
  <c r="H12" i="19" s="1"/>
  <c r="I22" i="4" s="1"/>
  <c r="G18" i="4"/>
  <c r="G17" i="4"/>
  <c r="F31" i="19"/>
  <c r="F32" i="19" s="1"/>
  <c r="F33" i="19" s="1"/>
  <c r="G12" i="4" s="1"/>
  <c r="C10" i="4"/>
  <c r="D10" i="4"/>
  <c r="D13" i="4" s="1"/>
  <c r="D29" i="7"/>
  <c r="F9" i="18"/>
  <c r="E12" i="10"/>
  <c r="C29" i="11"/>
  <c r="C30" i="11" s="1"/>
  <c r="C32" i="11" s="1"/>
  <c r="E32" i="11" s="1"/>
  <c r="J48" i="7"/>
  <c r="K48" i="7"/>
  <c r="C12" i="10"/>
  <c r="C20" i="1"/>
  <c r="D6" i="10" s="1"/>
  <c r="D12" i="10" s="1"/>
  <c r="D13" i="10" s="1"/>
  <c r="C16" i="1"/>
  <c r="F8" i="10"/>
  <c r="F7" i="10"/>
  <c r="E9" i="9"/>
  <c r="E7" i="9"/>
  <c r="C9" i="1"/>
  <c r="I38" i="19" l="1"/>
  <c r="I40" i="19" s="1"/>
  <c r="I10" i="19" s="1"/>
  <c r="H43" i="19"/>
  <c r="I13" i="7"/>
  <c r="H3" i="20"/>
  <c r="G28" i="19"/>
  <c r="C39" i="1"/>
  <c r="C8" i="2" s="1"/>
  <c r="C9" i="7"/>
  <c r="F6" i="10"/>
  <c r="F12" i="10"/>
  <c r="E15" i="11" s="1"/>
  <c r="C32" i="4"/>
  <c r="C13" i="4"/>
  <c r="D10" i="18"/>
  <c r="C7" i="15"/>
  <c r="E10" i="9"/>
  <c r="E12" i="9" s="1"/>
  <c r="E29" i="7"/>
  <c r="G9" i="18"/>
  <c r="E10" i="18"/>
  <c r="C10" i="7"/>
  <c r="B10" i="13"/>
  <c r="C13" i="10"/>
  <c r="C3" i="15"/>
  <c r="E13" i="10"/>
  <c r="K6" i="12"/>
  <c r="E5" i="12"/>
  <c r="H6" i="12"/>
  <c r="E6" i="12"/>
  <c r="D6" i="12"/>
  <c r="F6" i="12"/>
  <c r="F5" i="12"/>
  <c r="G5" i="12"/>
  <c r="I6" i="12"/>
  <c r="D14" i="10"/>
  <c r="I41" i="19" l="1"/>
  <c r="I42" i="19" s="1"/>
  <c r="I11" i="19"/>
  <c r="I12" i="19" s="1"/>
  <c r="J22" i="4" s="1"/>
  <c r="C4" i="2"/>
  <c r="C6" i="2" s="1"/>
  <c r="G30" i="19"/>
  <c r="G7" i="19" s="1"/>
  <c r="H11" i="4"/>
  <c r="G12" i="7"/>
  <c r="F9" i="10"/>
  <c r="B7" i="18"/>
  <c r="B25" i="18" s="1"/>
  <c r="B26" i="18" s="1"/>
  <c r="F13" i="10"/>
  <c r="C11" i="7"/>
  <c r="D9" i="7" s="1"/>
  <c r="E10" i="4"/>
  <c r="E13" i="4" s="1"/>
  <c r="E13" i="9"/>
  <c r="F29" i="7"/>
  <c r="F3" i="15"/>
  <c r="F10" i="18"/>
  <c r="H9" i="18"/>
  <c r="C14" i="10"/>
  <c r="F14" i="10" s="1"/>
  <c r="C10" i="13"/>
  <c r="D32" i="4"/>
  <c r="D10" i="7"/>
  <c r="E3" i="15"/>
  <c r="D3" i="15"/>
  <c r="E14" i="10"/>
  <c r="H5" i="12"/>
  <c r="J5" i="12"/>
  <c r="C6" i="12"/>
  <c r="J6" i="12"/>
  <c r="D5" i="12"/>
  <c r="I5" i="12"/>
  <c r="C5" i="12"/>
  <c r="G6" i="12"/>
  <c r="K5" i="12"/>
  <c r="D15" i="10"/>
  <c r="D16" i="10" s="1"/>
  <c r="D17" i="10" s="1"/>
  <c r="I3" i="20" l="1"/>
  <c r="J13" i="7"/>
  <c r="J38" i="19"/>
  <c r="J40" i="19" s="1"/>
  <c r="J10" i="19" s="1"/>
  <c r="I43" i="19"/>
  <c r="H18" i="4"/>
  <c r="H17" i="4"/>
  <c r="B6" i="18"/>
  <c r="D4" i="14"/>
  <c r="G31" i="19"/>
  <c r="G32" i="19" s="1"/>
  <c r="G33" i="19" s="1"/>
  <c r="H12" i="4" s="1"/>
  <c r="E15" i="9"/>
  <c r="C16" i="4"/>
  <c r="C18" i="7"/>
  <c r="B5" i="18" s="1"/>
  <c r="B19" i="18" s="1"/>
  <c r="C4" i="18" s="1"/>
  <c r="C23" i="18" s="1"/>
  <c r="C40" i="7"/>
  <c r="F10" i="4"/>
  <c r="F13" i="4" s="1"/>
  <c r="G29" i="7"/>
  <c r="I9" i="18"/>
  <c r="G10" i="18"/>
  <c r="D11" i="7"/>
  <c r="D40" i="7" s="1"/>
  <c r="E32" i="4"/>
  <c r="E10" i="7"/>
  <c r="D10" i="13"/>
  <c r="C15" i="10"/>
  <c r="E15" i="10"/>
  <c r="D18" i="10"/>
  <c r="J11" i="19" l="1"/>
  <c r="J12" i="19" s="1"/>
  <c r="K22" i="4" s="1"/>
  <c r="J41" i="19"/>
  <c r="J42" i="19" s="1"/>
  <c r="J43" i="19" s="1"/>
  <c r="C10" i="14"/>
  <c r="E10" i="14" s="1"/>
  <c r="D11" i="14"/>
  <c r="D12" i="14" s="1"/>
  <c r="D13" i="14" s="1"/>
  <c r="C11" i="14"/>
  <c r="E11" i="14" s="1"/>
  <c r="C9" i="14"/>
  <c r="E9" i="14" s="1"/>
  <c r="C24" i="18"/>
  <c r="B23" i="18"/>
  <c r="E14" i="11"/>
  <c r="D16" i="4"/>
  <c r="E16" i="4" s="1"/>
  <c r="F16" i="4" s="1"/>
  <c r="G16" i="4" s="1"/>
  <c r="H16" i="4" s="1"/>
  <c r="I16" i="4" s="1"/>
  <c r="J16" i="4" s="1"/>
  <c r="K16" i="4" s="1"/>
  <c r="H28" i="19"/>
  <c r="H30" i="19" s="1"/>
  <c r="H7" i="19" s="1"/>
  <c r="C19" i="4"/>
  <c r="C11" i="18" s="1"/>
  <c r="F15" i="10"/>
  <c r="G10" i="4"/>
  <c r="G13" i="4" s="1"/>
  <c r="F8" i="18"/>
  <c r="H29" i="7"/>
  <c r="H10" i="18"/>
  <c r="G3" i="15"/>
  <c r="J9" i="18"/>
  <c r="E9" i="7"/>
  <c r="E11" i="7" s="1"/>
  <c r="E40" i="7" s="1"/>
  <c r="F10" i="7"/>
  <c r="E10" i="13"/>
  <c r="F32" i="4"/>
  <c r="C16" i="10"/>
  <c r="C17" i="10" s="1"/>
  <c r="E16" i="10"/>
  <c r="D19" i="10"/>
  <c r="D20" i="10" s="1"/>
  <c r="K13" i="7" l="1"/>
  <c r="J3" i="20"/>
  <c r="C12" i="14"/>
  <c r="I18" i="4"/>
  <c r="I17" i="4"/>
  <c r="C47" i="7"/>
  <c r="D14" i="14"/>
  <c r="D15" i="14" s="1"/>
  <c r="D16" i="14" s="1"/>
  <c r="D17" i="14" s="1"/>
  <c r="D18" i="14" s="1"/>
  <c r="D19" i="14" s="1"/>
  <c r="D20" i="14" s="1"/>
  <c r="D21" i="14" s="1"/>
  <c r="D47" i="7"/>
  <c r="C18" i="18"/>
  <c r="E12" i="14"/>
  <c r="C26" i="4" s="1"/>
  <c r="C28" i="4" s="1"/>
  <c r="C12" i="18" s="1"/>
  <c r="C13" i="18" s="1"/>
  <c r="C13" i="14"/>
  <c r="B28" i="18"/>
  <c r="B24" i="18"/>
  <c r="B29" i="18" s="1"/>
  <c r="H31" i="19"/>
  <c r="H32" i="19" s="1"/>
  <c r="H33" i="19" s="1"/>
  <c r="I12" i="4" s="1"/>
  <c r="I11" i="4"/>
  <c r="H12" i="7"/>
  <c r="C21" i="4"/>
  <c r="C23" i="4" s="1"/>
  <c r="C49" i="7" s="1"/>
  <c r="D19" i="4"/>
  <c r="D11" i="18" s="1"/>
  <c r="F16" i="10"/>
  <c r="E19" i="4"/>
  <c r="H10" i="4"/>
  <c r="H13" i="4" s="1"/>
  <c r="G8" i="18"/>
  <c r="I29" i="7"/>
  <c r="K9" i="18"/>
  <c r="I10" i="18"/>
  <c r="H3" i="15"/>
  <c r="F9" i="7"/>
  <c r="F11" i="7" s="1"/>
  <c r="F40" i="7" s="1"/>
  <c r="G10" i="7"/>
  <c r="F10" i="13"/>
  <c r="G32" i="4"/>
  <c r="C18" i="10"/>
  <c r="E17" i="10"/>
  <c r="H32" i="4" s="1"/>
  <c r="C46" i="7" l="1"/>
  <c r="C48" i="7" s="1"/>
  <c r="C50" i="7" s="1"/>
  <c r="D18" i="18"/>
  <c r="E13" i="14"/>
  <c r="C22" i="7"/>
  <c r="C14" i="14"/>
  <c r="E18" i="18"/>
  <c r="E18" i="11"/>
  <c r="D22" i="14"/>
  <c r="D23" i="14" s="1"/>
  <c r="D24" i="14" s="1"/>
  <c r="D25" i="14" s="1"/>
  <c r="E47" i="7"/>
  <c r="D21" i="4"/>
  <c r="D23" i="4" s="1"/>
  <c r="D49" i="7" s="1"/>
  <c r="I28" i="19"/>
  <c r="I30" i="19" s="1"/>
  <c r="I7" i="19" s="1"/>
  <c r="B4" i="20"/>
  <c r="B5" i="20" s="1"/>
  <c r="B6" i="20" s="1"/>
  <c r="C30" i="4"/>
  <c r="F17" i="10"/>
  <c r="F19" i="4"/>
  <c r="E11" i="18"/>
  <c r="E21" i="4"/>
  <c r="I10" i="4"/>
  <c r="H8" i="18"/>
  <c r="K29" i="7"/>
  <c r="J29" i="7"/>
  <c r="J10" i="18"/>
  <c r="I3" i="15"/>
  <c r="G9" i="7"/>
  <c r="G11" i="7" s="1"/>
  <c r="H10" i="7"/>
  <c r="G10" i="13"/>
  <c r="C19" i="10"/>
  <c r="E18" i="10"/>
  <c r="E19" i="10" s="1"/>
  <c r="J17" i="4" l="1"/>
  <c r="J18" i="4"/>
  <c r="F18" i="18"/>
  <c r="C41" i="7"/>
  <c r="C42" i="7" s="1"/>
  <c r="C34" i="7"/>
  <c r="E14" i="14"/>
  <c r="C15" i="14"/>
  <c r="D26" i="14"/>
  <c r="D27" i="14" s="1"/>
  <c r="D28" i="14" s="1"/>
  <c r="F47" i="7"/>
  <c r="C33" i="4"/>
  <c r="B7" i="20" s="1"/>
  <c r="C4" i="20"/>
  <c r="C5" i="20" s="1"/>
  <c r="C6" i="20" s="1"/>
  <c r="I31" i="19"/>
  <c r="I32" i="19" s="1"/>
  <c r="I33" i="19" s="1"/>
  <c r="J12" i="4" s="1"/>
  <c r="I12" i="7"/>
  <c r="J11" i="4"/>
  <c r="I13" i="4"/>
  <c r="B7" i="13"/>
  <c r="B9" i="13" s="1"/>
  <c r="B11" i="13" s="1"/>
  <c r="B13" i="13" s="1"/>
  <c r="B14" i="13" s="1"/>
  <c r="C34" i="4" s="1"/>
  <c r="C14" i="18" s="1"/>
  <c r="F18" i="10"/>
  <c r="E23" i="4"/>
  <c r="E49" i="7" s="1"/>
  <c r="D4" i="20"/>
  <c r="C20" i="10"/>
  <c r="F19" i="10"/>
  <c r="E11" i="11"/>
  <c r="E12" i="11" s="1"/>
  <c r="G19" i="4"/>
  <c r="F11" i="18"/>
  <c r="F21" i="4"/>
  <c r="J10" i="4"/>
  <c r="K10" i="4"/>
  <c r="I8" i="18"/>
  <c r="K10" i="18"/>
  <c r="G40" i="7"/>
  <c r="H9" i="7"/>
  <c r="H11" i="7" s="1"/>
  <c r="I10" i="7"/>
  <c r="I32" i="4"/>
  <c r="H10" i="13"/>
  <c r="I10" i="13"/>
  <c r="J10" i="7"/>
  <c r="J32" i="4"/>
  <c r="E20" i="10"/>
  <c r="G18" i="18" l="1"/>
  <c r="E15" i="14"/>
  <c r="C16" i="14"/>
  <c r="G47" i="7"/>
  <c r="D29" i="14"/>
  <c r="C15" i="18"/>
  <c r="J28" i="19"/>
  <c r="J30" i="19" s="1"/>
  <c r="J7" i="19" s="1"/>
  <c r="C35" i="4"/>
  <c r="C36" i="4" s="1"/>
  <c r="F20" i="10"/>
  <c r="F23" i="4"/>
  <c r="F49" i="7" s="1"/>
  <c r="E4" i="20"/>
  <c r="E5" i="20" s="1"/>
  <c r="E6" i="20" s="1"/>
  <c r="D5" i="20"/>
  <c r="D6" i="20" s="1"/>
  <c r="K32" i="4"/>
  <c r="J10" i="13"/>
  <c r="G11" i="18"/>
  <c r="G21" i="4"/>
  <c r="F4" i="20" s="1"/>
  <c r="F5" i="20" s="1"/>
  <c r="F6" i="20" s="1"/>
  <c r="H19" i="4"/>
  <c r="J8" i="18"/>
  <c r="K8" i="18"/>
  <c r="H40" i="7"/>
  <c r="I9" i="7"/>
  <c r="I11" i="7" s="1"/>
  <c r="J9" i="7" s="1"/>
  <c r="J11" i="7" s="1"/>
  <c r="K10" i="7"/>
  <c r="K17" i="4" l="1"/>
  <c r="K18" i="4"/>
  <c r="E16" i="14"/>
  <c r="D26" i="4" s="1"/>
  <c r="D28" i="4" s="1"/>
  <c r="C17" i="14"/>
  <c r="D30" i="14"/>
  <c r="D31" i="14" s="1"/>
  <c r="D32" i="14" s="1"/>
  <c r="D33" i="14" s="1"/>
  <c r="D34" i="14" s="1"/>
  <c r="D35" i="14" s="1"/>
  <c r="D36" i="14" s="1"/>
  <c r="C16" i="18"/>
  <c r="C25" i="18" s="1"/>
  <c r="J12" i="7"/>
  <c r="K11" i="4"/>
  <c r="J13" i="4"/>
  <c r="J31" i="19"/>
  <c r="J32" i="19" s="1"/>
  <c r="J33" i="19" s="1"/>
  <c r="K12" i="4" s="1"/>
  <c r="B8" i="20"/>
  <c r="E19" i="11"/>
  <c r="C34" i="11" s="1"/>
  <c r="C35" i="11" s="1"/>
  <c r="C37" i="4"/>
  <c r="C19" i="7" s="1"/>
  <c r="C21" i="7" s="1"/>
  <c r="C25" i="7" s="1"/>
  <c r="H11" i="18"/>
  <c r="H21" i="4"/>
  <c r="G4" i="20" s="1"/>
  <c r="G5" i="20" s="1"/>
  <c r="G6" i="20" s="1"/>
  <c r="I19" i="4"/>
  <c r="I40" i="7"/>
  <c r="I42" i="7" s="1"/>
  <c r="J40" i="7"/>
  <c r="J42" i="7" s="1"/>
  <c r="K9" i="7"/>
  <c r="K11" i="7" s="1"/>
  <c r="K40" i="7" s="1"/>
  <c r="K42" i="7" s="1"/>
  <c r="G23" i="4"/>
  <c r="G49" i="7" s="1"/>
  <c r="D46" i="7" l="1"/>
  <c r="D48" i="7" s="1"/>
  <c r="D50" i="7" s="1"/>
  <c r="D30" i="4"/>
  <c r="D12" i="18"/>
  <c r="E17" i="14"/>
  <c r="D22" i="7"/>
  <c r="C18" i="14"/>
  <c r="I18" i="18"/>
  <c r="H18" i="18"/>
  <c r="H47" i="7"/>
  <c r="C17" i="18"/>
  <c r="C19" i="18" s="1"/>
  <c r="C14" i="7" s="1"/>
  <c r="C15" i="7" s="1"/>
  <c r="C26" i="18"/>
  <c r="K13" i="4"/>
  <c r="C35" i="7"/>
  <c r="C36" i="7" s="1"/>
  <c r="D18" i="7"/>
  <c r="K19" i="4"/>
  <c r="J19" i="4"/>
  <c r="I11" i="18"/>
  <c r="I21" i="4"/>
  <c r="H4" i="20" s="1"/>
  <c r="H5" i="20" s="1"/>
  <c r="H6" i="20" s="1"/>
  <c r="I47" i="7" l="1"/>
  <c r="E18" i="14"/>
  <c r="C19" i="14"/>
  <c r="D41" i="7"/>
  <c r="D42" i="7" s="1"/>
  <c r="D34" i="7"/>
  <c r="D33" i="4"/>
  <c r="C7" i="13"/>
  <c r="C9" i="13" s="1"/>
  <c r="C11" i="13" s="1"/>
  <c r="C13" i="13" s="1"/>
  <c r="C14" i="13" s="1"/>
  <c r="D34" i="4" s="1"/>
  <c r="D14" i="18" s="1"/>
  <c r="C28" i="7"/>
  <c r="C30" i="7" s="1"/>
  <c r="D4" i="18"/>
  <c r="D23" i="18" s="1"/>
  <c r="C28" i="18"/>
  <c r="C29" i="18" s="1"/>
  <c r="K12" i="7"/>
  <c r="J11" i="18"/>
  <c r="J21" i="4"/>
  <c r="I4" i="20" s="1"/>
  <c r="I5" i="20" s="1"/>
  <c r="I6" i="20" s="1"/>
  <c r="K11" i="18"/>
  <c r="K21" i="4"/>
  <c r="J4" i="20" s="1"/>
  <c r="J5" i="20" s="1"/>
  <c r="J6" i="20" s="1"/>
  <c r="H23" i="4"/>
  <c r="H49" i="7" s="1"/>
  <c r="C7" i="20" l="1"/>
  <c r="D35" i="4"/>
  <c r="E19" i="14"/>
  <c r="C20" i="14"/>
  <c r="D13" i="18"/>
  <c r="D15" i="18" s="1"/>
  <c r="D24" i="18"/>
  <c r="E20" i="14" l="1"/>
  <c r="E26" i="4" s="1"/>
  <c r="E28" i="4" s="1"/>
  <c r="C21" i="14"/>
  <c r="D36" i="4"/>
  <c r="D16" i="18" s="1"/>
  <c r="D25" i="18" s="1"/>
  <c r="D26" i="18" s="1"/>
  <c r="C8" i="20"/>
  <c r="I23" i="4"/>
  <c r="I49" i="7" s="1"/>
  <c r="E46" i="7" l="1"/>
  <c r="E48" i="7" s="1"/>
  <c r="E50" i="7" s="1"/>
  <c r="E12" i="18"/>
  <c r="E30" i="4"/>
  <c r="D37" i="4"/>
  <c r="D19" i="7" s="1"/>
  <c r="D21" i="7" s="1"/>
  <c r="E21" i="14"/>
  <c r="E22" i="7"/>
  <c r="C22" i="14"/>
  <c r="D17" i="18"/>
  <c r="D19" i="18" s="1"/>
  <c r="D28" i="18"/>
  <c r="D29" i="18" s="1"/>
  <c r="D14" i="7" l="1"/>
  <c r="E4" i="18"/>
  <c r="E22" i="14"/>
  <c r="C23" i="14"/>
  <c r="E34" i="7"/>
  <c r="E41" i="7"/>
  <c r="E42" i="7" s="1"/>
  <c r="E18" i="7"/>
  <c r="D25" i="7"/>
  <c r="D35" i="7"/>
  <c r="D36" i="7" s="1"/>
  <c r="E33" i="4"/>
  <c r="D7" i="13"/>
  <c r="D9" i="13" s="1"/>
  <c r="D11" i="13" s="1"/>
  <c r="D13" i="13" s="1"/>
  <c r="D14" i="13" s="1"/>
  <c r="E34" i="4" s="1"/>
  <c r="E14" i="18" s="1"/>
  <c r="E23" i="18" l="1"/>
  <c r="E24" i="18" s="1"/>
  <c r="E13" i="18"/>
  <c r="E15" i="18" s="1"/>
  <c r="E23" i="14"/>
  <c r="C24" i="14"/>
  <c r="D7" i="20"/>
  <c r="E35" i="4"/>
  <c r="D28" i="7"/>
  <c r="D30" i="7" s="1"/>
  <c r="D15" i="7"/>
  <c r="J23" i="4"/>
  <c r="J3" i="15"/>
  <c r="K3" i="15"/>
  <c r="E36" i="4" l="1"/>
  <c r="E16" i="18" s="1"/>
  <c r="D8" i="20"/>
  <c r="E24" i="14"/>
  <c r="F26" i="4" s="1"/>
  <c r="F28" i="4" s="1"/>
  <c r="C25" i="14"/>
  <c r="J30" i="4"/>
  <c r="J33" i="4" s="1"/>
  <c r="J49" i="7"/>
  <c r="J50" i="7" s="1"/>
  <c r="K23" i="4"/>
  <c r="E37" i="4" l="1"/>
  <c r="E19" i="7" s="1"/>
  <c r="E21" i="7" s="1"/>
  <c r="F46" i="7"/>
  <c r="F48" i="7" s="1"/>
  <c r="F50" i="7" s="1"/>
  <c r="F30" i="4"/>
  <c r="F12" i="18"/>
  <c r="E25" i="14"/>
  <c r="F22" i="7"/>
  <c r="C26" i="14"/>
  <c r="E25" i="18"/>
  <c r="E17" i="18"/>
  <c r="E19" i="18" s="1"/>
  <c r="I7" i="20"/>
  <c r="I7" i="13"/>
  <c r="I9" i="13" s="1"/>
  <c r="I11" i="13" s="1"/>
  <c r="I13" i="13" s="1"/>
  <c r="I14" i="13" s="1"/>
  <c r="J34" i="4" s="1"/>
  <c r="J14" i="18" s="1"/>
  <c r="K30" i="4"/>
  <c r="K33" i="4" s="1"/>
  <c r="K49" i="7"/>
  <c r="K50" i="7" s="1"/>
  <c r="E35" i="7" l="1"/>
  <c r="E36" i="7" s="1"/>
  <c r="E25" i="7"/>
  <c r="F18" i="7"/>
  <c r="E26" i="18"/>
  <c r="E28" i="18"/>
  <c r="E29" i="18" s="1"/>
  <c r="E26" i="14"/>
  <c r="C27" i="14"/>
  <c r="F34" i="7"/>
  <c r="F41" i="7"/>
  <c r="F42" i="7" s="1"/>
  <c r="F33" i="4"/>
  <c r="E7" i="13"/>
  <c r="E9" i="13" s="1"/>
  <c r="E11" i="13" s="1"/>
  <c r="E13" i="13" s="1"/>
  <c r="E14" i="13" s="1"/>
  <c r="F34" i="4" s="1"/>
  <c r="F14" i="18" s="1"/>
  <c r="F4" i="18"/>
  <c r="E14" i="7"/>
  <c r="J7" i="20"/>
  <c r="J35" i="4"/>
  <c r="J36" i="4" s="1"/>
  <c r="J7" i="13"/>
  <c r="J9" i="13" s="1"/>
  <c r="J11" i="13" s="1"/>
  <c r="J13" i="13" s="1"/>
  <c r="J14" i="13" s="1"/>
  <c r="K34" i="4" s="1"/>
  <c r="E7" i="20" l="1"/>
  <c r="F35" i="4"/>
  <c r="E27" i="14"/>
  <c r="C28" i="14"/>
  <c r="E15" i="7"/>
  <c r="E28" i="7"/>
  <c r="E30" i="7" s="1"/>
  <c r="F23" i="18"/>
  <c r="F24" i="18" s="1"/>
  <c r="F13" i="18"/>
  <c r="F15" i="18" s="1"/>
  <c r="J37" i="4"/>
  <c r="J19" i="7" s="1"/>
  <c r="I8" i="20"/>
  <c r="K35" i="4"/>
  <c r="K36" i="4" s="1"/>
  <c r="K14" i="18"/>
  <c r="E28" i="14" l="1"/>
  <c r="G26" i="4" s="1"/>
  <c r="G28" i="4" s="1"/>
  <c r="G22" i="7"/>
  <c r="C29" i="14"/>
  <c r="F36" i="4"/>
  <c r="E8" i="20"/>
  <c r="J16" i="18"/>
  <c r="K37" i="4"/>
  <c r="K19" i="7" s="1"/>
  <c r="J8" i="20"/>
  <c r="F16" i="18" l="1"/>
  <c r="F37" i="4"/>
  <c r="F19" i="7" s="1"/>
  <c r="F21" i="7" s="1"/>
  <c r="E29" i="14"/>
  <c r="C30" i="14"/>
  <c r="G30" i="4"/>
  <c r="G12" i="18"/>
  <c r="G46" i="7"/>
  <c r="G48" i="7" s="1"/>
  <c r="G50" i="7" s="1"/>
  <c r="F51" i="7" s="1"/>
  <c r="G41" i="7"/>
  <c r="G42" i="7" s="1"/>
  <c r="G34" i="7"/>
  <c r="J25" i="18"/>
  <c r="J26" i="18" s="1"/>
  <c r="K16" i="18"/>
  <c r="E30" i="14" l="1"/>
  <c r="C31" i="14"/>
  <c r="F25" i="7"/>
  <c r="F35" i="7"/>
  <c r="F36" i="7" s="1"/>
  <c r="G18" i="7"/>
  <c r="G33" i="4"/>
  <c r="F7" i="13"/>
  <c r="F9" i="13" s="1"/>
  <c r="F11" i="13" s="1"/>
  <c r="F13" i="13" s="1"/>
  <c r="F14" i="13" s="1"/>
  <c r="G34" i="4" s="1"/>
  <c r="G14" i="18" s="1"/>
  <c r="F25" i="18"/>
  <c r="F17" i="18"/>
  <c r="F19" i="18" s="1"/>
  <c r="K25" i="18"/>
  <c r="K26" i="18" s="1"/>
  <c r="F26" i="18" l="1"/>
  <c r="F28" i="18"/>
  <c r="F29" i="18" s="1"/>
  <c r="F7" i="20"/>
  <c r="G35" i="4"/>
  <c r="E31" i="14"/>
  <c r="C32" i="14"/>
  <c r="C33" i="14" s="1"/>
  <c r="F14" i="7"/>
  <c r="G4" i="18"/>
  <c r="E33" i="14" l="1"/>
  <c r="C34" i="14"/>
  <c r="F15" i="7"/>
  <c r="F28" i="7"/>
  <c r="F30" i="7" s="1"/>
  <c r="G23" i="18"/>
  <c r="G24" i="18" s="1"/>
  <c r="G13" i="18"/>
  <c r="G15" i="18" s="1"/>
  <c r="H22" i="7"/>
  <c r="E32" i="14"/>
  <c r="H26" i="4" s="1"/>
  <c r="H28" i="4" s="1"/>
  <c r="G36" i="4"/>
  <c r="G16" i="18" s="1"/>
  <c r="G25" i="18" s="1"/>
  <c r="G26" i="18" s="1"/>
  <c r="F8" i="20"/>
  <c r="C35" i="14" l="1"/>
  <c r="E34" i="14"/>
  <c r="H30" i="4"/>
  <c r="H46" i="7"/>
  <c r="H48" i="7" s="1"/>
  <c r="H50" i="7" s="1"/>
  <c r="H12" i="18"/>
  <c r="H41" i="7"/>
  <c r="H42" i="7" s="1"/>
  <c r="F43" i="7" s="1"/>
  <c r="H34" i="7"/>
  <c r="G17" i="18"/>
  <c r="G19" i="18" s="1"/>
  <c r="G28" i="18"/>
  <c r="G29" i="18" s="1"/>
  <c r="G37" i="4"/>
  <c r="G19" i="7" s="1"/>
  <c r="G21" i="7" s="1"/>
  <c r="C36" i="14" l="1"/>
  <c r="E36" i="14" s="1"/>
  <c r="E35" i="14"/>
  <c r="G14" i="7"/>
  <c r="H4" i="18"/>
  <c r="G25" i="7"/>
  <c r="H18" i="7"/>
  <c r="G35" i="7"/>
  <c r="G36" i="7" s="1"/>
  <c r="H33" i="4"/>
  <c r="G7" i="13"/>
  <c r="G9" i="13" s="1"/>
  <c r="G11" i="13" s="1"/>
  <c r="G13" i="13" s="1"/>
  <c r="G14" i="13" s="1"/>
  <c r="H34" i="4" s="1"/>
  <c r="H14" i="18" s="1"/>
  <c r="G7" i="20" l="1"/>
  <c r="H35" i="4"/>
  <c r="H23" i="18"/>
  <c r="H24" i="18" s="1"/>
  <c r="H13" i="18"/>
  <c r="H15" i="18" s="1"/>
  <c r="G28" i="7"/>
  <c r="G30" i="7" s="1"/>
  <c r="G15" i="7"/>
  <c r="I26" i="4" l="1"/>
  <c r="I28" i="4" s="1"/>
  <c r="I30" i="4" s="1"/>
  <c r="I33" i="4" s="1"/>
  <c r="H36" i="4"/>
  <c r="G8" i="20"/>
  <c r="H7" i="20" l="1"/>
  <c r="I46" i="7"/>
  <c r="I48" i="7" s="1"/>
  <c r="I50" i="7" s="1"/>
  <c r="I12" i="18"/>
  <c r="H7" i="13"/>
  <c r="H9" i="13" s="1"/>
  <c r="H11" i="13" s="1"/>
  <c r="H13" i="13" s="1"/>
  <c r="H14" i="13" s="1"/>
  <c r="I34" i="4" s="1"/>
  <c r="I14" i="18" s="1"/>
  <c r="H16" i="18"/>
  <c r="H37" i="4"/>
  <c r="H19" i="7" s="1"/>
  <c r="H21" i="7" s="1"/>
  <c r="I35" i="4" l="1"/>
  <c r="I36" i="4" s="1"/>
  <c r="I16" i="18" s="1"/>
  <c r="I25" i="18" s="1"/>
  <c r="H35" i="7"/>
  <c r="H36" i="7" s="1"/>
  <c r="H25" i="7"/>
  <c r="I18" i="7"/>
  <c r="H25" i="18"/>
  <c r="H17" i="18"/>
  <c r="H19" i="18" s="1"/>
  <c r="H8" i="20" l="1"/>
  <c r="I4" i="18"/>
  <c r="H14" i="7"/>
  <c r="H26" i="18"/>
  <c r="H28" i="18"/>
  <c r="H29" i="18" s="1"/>
  <c r="I37" i="4"/>
  <c r="I19" i="7" s="1"/>
  <c r="I21" i="7" s="1"/>
  <c r="I25" i="7" s="1"/>
  <c r="H15" i="7" l="1"/>
  <c r="H28" i="7"/>
  <c r="H30" i="7" s="1"/>
  <c r="I13" i="18"/>
  <c r="I15" i="18" s="1"/>
  <c r="I17" i="18" s="1"/>
  <c r="I19" i="18" s="1"/>
  <c r="I14" i="7" s="1"/>
  <c r="I15" i="7" s="1"/>
  <c r="I23" i="18"/>
  <c r="I24" i="18" s="1"/>
  <c r="I26" i="18"/>
  <c r="I35" i="7"/>
  <c r="I36" i="7" s="1"/>
  <c r="J18" i="7"/>
  <c r="J21" i="7" s="1"/>
  <c r="K18" i="7" s="1"/>
  <c r="K21" i="7" s="1"/>
  <c r="I28" i="18" l="1"/>
  <c r="I29" i="18" s="1"/>
  <c r="I28" i="7"/>
  <c r="I30" i="7" s="1"/>
  <c r="J4" i="18"/>
  <c r="J13" i="18" s="1"/>
  <c r="J15" i="18" s="1"/>
  <c r="J17" i="18" s="1"/>
  <c r="J19" i="18" s="1"/>
  <c r="J25" i="7"/>
  <c r="J35" i="7"/>
  <c r="J36" i="7" s="1"/>
  <c r="K35" i="7"/>
  <c r="K36" i="7" s="1"/>
  <c r="K25" i="7"/>
  <c r="J23" i="18" l="1"/>
  <c r="J28" i="18" s="1"/>
  <c r="J29" i="18" s="1"/>
  <c r="K4" i="18"/>
  <c r="J14" i="7"/>
  <c r="J28" i="7" s="1"/>
  <c r="J30" i="7" s="1"/>
  <c r="F37" i="7"/>
  <c r="J24" i="18" l="1"/>
  <c r="J15" i="7"/>
  <c r="K13" i="18"/>
  <c r="K15" i="18" s="1"/>
  <c r="K17" i="18" s="1"/>
  <c r="K19" i="18" s="1"/>
  <c r="K14" i="7" s="1"/>
  <c r="K23" i="18"/>
  <c r="K28" i="18" s="1"/>
  <c r="K29" i="18" s="1"/>
  <c r="K24" i="18" l="1"/>
  <c r="L29" i="18" s="1"/>
  <c r="K15" i="7"/>
  <c r="K28" i="7"/>
  <c r="K30" i="7" s="1"/>
  <c r="F31" i="7" s="1"/>
</calcChain>
</file>

<file path=xl/sharedStrings.xml><?xml version="1.0" encoding="utf-8"?>
<sst xmlns="http://schemas.openxmlformats.org/spreadsheetml/2006/main" count="454" uniqueCount="313">
  <si>
    <t>Annexure 1 - Estimated cost of the project</t>
  </si>
  <si>
    <t>Estimated cost of project</t>
  </si>
  <si>
    <t xml:space="preserve">Sr. No. </t>
  </si>
  <si>
    <t>Particulars</t>
  </si>
  <si>
    <t>Grand Total (in lakhs)</t>
  </si>
  <si>
    <t>(a)</t>
  </si>
  <si>
    <t>Land and site development</t>
  </si>
  <si>
    <t>Land (Lease in name of company)</t>
  </si>
  <si>
    <t>Total</t>
  </si>
  <si>
    <t>Civil Work</t>
  </si>
  <si>
    <t>Plant and Machinery (indegenous)</t>
  </si>
  <si>
    <t>Plant and Machinery</t>
  </si>
  <si>
    <t>Miscellanoeus Fixed Assets</t>
  </si>
  <si>
    <t>Cost</t>
  </si>
  <si>
    <t>Working Capital Margin</t>
  </si>
  <si>
    <t>Preliminary Expenses</t>
  </si>
  <si>
    <t>Security Deposit</t>
  </si>
  <si>
    <t>Pre-Operative Expense</t>
  </si>
  <si>
    <t>(for 6 months upto the date od commencement of commercial production)</t>
  </si>
  <si>
    <t>Establisment and Travelling and Other Expenses</t>
  </si>
  <si>
    <t>(b)</t>
  </si>
  <si>
    <t>Legal and Misc Expense</t>
  </si>
  <si>
    <t>Total Cost of Project</t>
  </si>
  <si>
    <t>Annexure 2 - Means of Finance</t>
  </si>
  <si>
    <t>Sr. No.</t>
  </si>
  <si>
    <t>Item</t>
  </si>
  <si>
    <t>Promoter's equity</t>
  </si>
  <si>
    <t>Eligible Assistance</t>
  </si>
  <si>
    <t>Term Loan</t>
  </si>
  <si>
    <t>CC Limit</t>
  </si>
  <si>
    <t>Annexure 3 - Complete Estimate of Civil and Plant and Machinery</t>
  </si>
  <si>
    <t>Units</t>
  </si>
  <si>
    <t>Amt</t>
  </si>
  <si>
    <t>2. Plant and machinery</t>
  </si>
  <si>
    <t>Total Plant and Machinery</t>
  </si>
  <si>
    <t>Total fixed Assets</t>
  </si>
  <si>
    <t>Annexure 4 - Estimated Cost of Production</t>
  </si>
  <si>
    <t>Sr. No</t>
  </si>
  <si>
    <t>Description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</si>
  <si>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</si>
  <si>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</si>
  <si>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</si>
  <si>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</si>
  <si>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</si>
  <si>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</si>
  <si>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</si>
  <si>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</si>
  <si>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</si>
  <si>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Year ending March 31st</t>
  </si>
  <si>
    <t>No of Working months</t>
  </si>
  <si>
    <t>Sales</t>
  </si>
  <si>
    <t>Administrative salaries and wages</t>
  </si>
  <si>
    <t>S. No.</t>
  </si>
  <si>
    <t>Designation</t>
  </si>
  <si>
    <t>In no.</t>
  </si>
  <si>
    <t>Salary per person per month</t>
  </si>
  <si>
    <t>i.</t>
  </si>
  <si>
    <t>ii.</t>
  </si>
  <si>
    <t>Total annual wages</t>
  </si>
  <si>
    <t>Annual increase in wages</t>
  </si>
  <si>
    <t>Accountant</t>
  </si>
  <si>
    <t>iii.</t>
  </si>
  <si>
    <t>Computation of Depreciation</t>
  </si>
  <si>
    <t>Annexure 9 - Computation of Depreciation</t>
  </si>
  <si>
    <t>Pre operatives</t>
  </si>
  <si>
    <t>Contingencies</t>
  </si>
  <si>
    <t>Building and civil work</t>
  </si>
  <si>
    <t>Misc Fixed Asset</t>
  </si>
  <si>
    <t>Amount in lakhs</t>
  </si>
  <si>
    <t>Rates of Depreciation</t>
  </si>
  <si>
    <t>Year</t>
  </si>
  <si>
    <t>Annexure 11- Break even analysis (At maximum capacity utilization)</t>
  </si>
  <si>
    <t>Variable cost</t>
  </si>
  <si>
    <t>- Running and maintenance cost</t>
  </si>
  <si>
    <t>- Selling cost</t>
  </si>
  <si>
    <t>- Interest on Working capital</t>
  </si>
  <si>
    <t>Contribution</t>
  </si>
  <si>
    <t>Less: fixed cost</t>
  </si>
  <si>
    <t>Wages and salaries</t>
  </si>
  <si>
    <t>- electricity expense</t>
  </si>
  <si>
    <t>Depreciation</t>
  </si>
  <si>
    <t>Fixed cost</t>
  </si>
  <si>
    <t>Electricity charges</t>
  </si>
  <si>
    <t>selling expenses</t>
  </si>
  <si>
    <t>Interest on Working capital</t>
  </si>
  <si>
    <t>Running and maintenance cost</t>
  </si>
  <si>
    <t>Sales price per kg</t>
  </si>
  <si>
    <t>Annexure 12 - Profitability statement</t>
  </si>
  <si>
    <t>Years</t>
  </si>
  <si>
    <t>Vegetable procument expense</t>
  </si>
  <si>
    <t>Fruits procurement expense</t>
  </si>
  <si>
    <t>Direct Expenses</t>
  </si>
  <si>
    <t>Cost of Sales</t>
  </si>
  <si>
    <t>Expected sales revenue</t>
  </si>
  <si>
    <t>Gross Profit</t>
  </si>
  <si>
    <t>Financial expense</t>
  </si>
  <si>
    <t>Interest on Term Loan</t>
  </si>
  <si>
    <t>Annexure 13 - Repayment schedule</t>
  </si>
  <si>
    <t>Repayment schedule</t>
  </si>
  <si>
    <t>Amount of Loan (in lakhs)</t>
  </si>
  <si>
    <t>Rate of interest</t>
  </si>
  <si>
    <t>Moratorium period</t>
  </si>
  <si>
    <t>Quarter</t>
  </si>
  <si>
    <t>Balance outstanding</t>
  </si>
  <si>
    <t>Interest</t>
  </si>
  <si>
    <t>Principal instalment</t>
  </si>
  <si>
    <t>total</t>
  </si>
  <si>
    <t>Operating profits (PBT)</t>
  </si>
  <si>
    <t>depreciation</t>
  </si>
  <si>
    <t>Net Profit before Tax</t>
  </si>
  <si>
    <t>Income Tax</t>
  </si>
  <si>
    <t>Profits after Tax</t>
  </si>
  <si>
    <t>Annexure 10 - Calculation of Income tax</t>
  </si>
  <si>
    <t>Calculation of Income Tax</t>
  </si>
  <si>
    <t>Net profit before tax</t>
  </si>
  <si>
    <t>Add- dep on SLM</t>
  </si>
  <si>
    <t>Sub total</t>
  </si>
  <si>
    <t>Less- Dep on WDV</t>
  </si>
  <si>
    <t>Less - Deductions</t>
  </si>
  <si>
    <t>Taxable profits</t>
  </si>
  <si>
    <t>Income tax @30%</t>
  </si>
  <si>
    <t>Profit transfer to balance sheet</t>
  </si>
  <si>
    <t>Annexure 5- Projected balance sheet</t>
  </si>
  <si>
    <t>Projected Baalance sheet</t>
  </si>
  <si>
    <t>Asset</t>
  </si>
  <si>
    <t>Fixed Capital expenditure</t>
  </si>
  <si>
    <t>Gross Block</t>
  </si>
  <si>
    <t>Less- Depreciation</t>
  </si>
  <si>
    <t>net Block</t>
  </si>
  <si>
    <t>Sundry debtors</t>
  </si>
  <si>
    <t>Cash/ bank balance</t>
  </si>
  <si>
    <t>Liabilities</t>
  </si>
  <si>
    <t>Capital</t>
  </si>
  <si>
    <t>Add- Profit</t>
  </si>
  <si>
    <t>Less- Drawings</t>
  </si>
  <si>
    <t>Closing capital</t>
  </si>
  <si>
    <t>term Loan</t>
  </si>
  <si>
    <t>Total liabilities</t>
  </si>
  <si>
    <t>Total assets</t>
  </si>
  <si>
    <t>Current Ratio</t>
  </si>
  <si>
    <t>Current Assets</t>
  </si>
  <si>
    <t>Current Liabilities</t>
  </si>
  <si>
    <t>2. assumed that 30 days of sales are average debtors maintained by the business</t>
  </si>
  <si>
    <t>Debt Equity ratio</t>
  </si>
  <si>
    <t>Debt</t>
  </si>
  <si>
    <t>Equity</t>
  </si>
  <si>
    <t>Ratio</t>
  </si>
  <si>
    <t>cash flow statement</t>
  </si>
  <si>
    <t>Sales realized</t>
  </si>
  <si>
    <t>Term loan</t>
  </si>
  <si>
    <t>assisstance</t>
  </si>
  <si>
    <t>less- Purchase of assets</t>
  </si>
  <si>
    <t>Debt service coverage ratio</t>
  </si>
  <si>
    <t>Interest on loan (TL + WC)</t>
  </si>
  <si>
    <t>Net operating income</t>
  </si>
  <si>
    <t>ratio</t>
  </si>
  <si>
    <t>Instalment of loan</t>
  </si>
  <si>
    <t>A</t>
  </si>
  <si>
    <t>B</t>
  </si>
  <si>
    <t>assumptions</t>
  </si>
  <si>
    <t>Average</t>
  </si>
  <si>
    <t>Fixed asset coverage ratio</t>
  </si>
  <si>
    <t>Fixed assets</t>
  </si>
  <si>
    <t>6 months</t>
  </si>
  <si>
    <t>Details of Manpower</t>
  </si>
  <si>
    <t>Security</t>
  </si>
  <si>
    <t>Creditors</t>
  </si>
  <si>
    <t>Total manpower</t>
  </si>
  <si>
    <t>opening balance</t>
  </si>
  <si>
    <t>Add: Sales realizations</t>
  </si>
  <si>
    <t>Less: Interest payments</t>
  </si>
  <si>
    <t>Working capital</t>
  </si>
  <si>
    <t>Interest on WC Loan</t>
  </si>
  <si>
    <t>E mandi expense</t>
  </si>
  <si>
    <t>Site Development</t>
  </si>
  <si>
    <t>Sales Budget</t>
  </si>
  <si>
    <t>Production capacity utilization</t>
  </si>
  <si>
    <t>Production budget</t>
  </si>
  <si>
    <t>kg per hr</t>
  </si>
  <si>
    <t>hours</t>
  </si>
  <si>
    <t>kgs</t>
  </si>
  <si>
    <t>Products</t>
  </si>
  <si>
    <t>Opening Stock</t>
  </si>
  <si>
    <t>Add: Production</t>
  </si>
  <si>
    <t>Less: Sales</t>
  </si>
  <si>
    <t>Closing Stock</t>
  </si>
  <si>
    <t>Assumptions:</t>
  </si>
  <si>
    <t>Output</t>
  </si>
  <si>
    <t>Purchase of raw material input</t>
  </si>
  <si>
    <t>Electricity expense</t>
  </si>
  <si>
    <t>Usage in units</t>
  </si>
  <si>
    <t>2. interest on working capital is assumed to be 10% p.a.</t>
  </si>
  <si>
    <t>4. Electricity usage in units is given below</t>
  </si>
  <si>
    <t>Cost of Production</t>
  </si>
  <si>
    <t>Add: Opening stock</t>
  </si>
  <si>
    <t>Less: Closing stock</t>
  </si>
  <si>
    <t>- Procurement cost of inputs</t>
  </si>
  <si>
    <t>Sub Total</t>
  </si>
  <si>
    <t>Total depreciation for the year</t>
  </si>
  <si>
    <t>Machine operators</t>
  </si>
  <si>
    <t>Preliminary Expense</t>
  </si>
  <si>
    <t>Less: Payment made to creditors of previos year</t>
  </si>
  <si>
    <t>Add: Receipts from debtors of previos year</t>
  </si>
  <si>
    <t>Less: Payments made for current year purchase</t>
  </si>
  <si>
    <t>Less: Distrubutions made from profits</t>
  </si>
  <si>
    <t>Less: Income tax</t>
  </si>
  <si>
    <t>Less: Principal repayment of loan</t>
  </si>
  <si>
    <t>Closing cash balance</t>
  </si>
  <si>
    <t>Ouput available for sale</t>
  </si>
  <si>
    <t>2. assumed that 99% of production is sold for first 5 years, thereafter demand is almost 101% of output but we are able to serve market according to the availablility of output</t>
  </si>
  <si>
    <t>PV dicounting rate</t>
  </si>
  <si>
    <t>PVF</t>
  </si>
  <si>
    <t>Inflows</t>
  </si>
  <si>
    <t>PV of Inflows</t>
  </si>
  <si>
    <t>Outflows</t>
  </si>
  <si>
    <t>PV of Outflows</t>
  </si>
  <si>
    <t>Net cash inflow</t>
  </si>
  <si>
    <t>Net Present value</t>
  </si>
  <si>
    <t>Turnover</t>
  </si>
  <si>
    <t>Cost Of operations</t>
  </si>
  <si>
    <t>Gross profit</t>
  </si>
  <si>
    <t>EBITDA</t>
  </si>
  <si>
    <t>Profit before tax</t>
  </si>
  <si>
    <t>Profit after tax</t>
  </si>
  <si>
    <t>Contribution per kg</t>
  </si>
  <si>
    <t>Interest on TL</t>
  </si>
  <si>
    <t>Add: Capital</t>
  </si>
  <si>
    <t>Add: Loan disbursement</t>
  </si>
  <si>
    <t>Less: Purchase of asset</t>
  </si>
  <si>
    <t>Contents Table</t>
  </si>
  <si>
    <t>Contents</t>
  </si>
  <si>
    <t>Link</t>
  </si>
  <si>
    <t>Ann 1'!A1</t>
  </si>
  <si>
    <t>Ann 2'!A1</t>
  </si>
  <si>
    <t>Ann 4'!A1</t>
  </si>
  <si>
    <t>Ann 5'!A1</t>
  </si>
  <si>
    <t>Ann 8'!A1</t>
  </si>
  <si>
    <t>Ann 9'!A1</t>
  </si>
  <si>
    <t>Ann 10'!A1</t>
  </si>
  <si>
    <t>Ann 11'!A1</t>
  </si>
  <si>
    <t>Ann 13'!A1</t>
  </si>
  <si>
    <t>Assumptions!A1</t>
  </si>
  <si>
    <t>Budgets!A1</t>
  </si>
  <si>
    <t>S. no.</t>
  </si>
  <si>
    <t>Assumptions</t>
  </si>
  <si>
    <t>Assumed that 30 days of sales are average debtors maintained by the business</t>
  </si>
  <si>
    <t>Electricity usage in units is given below</t>
  </si>
  <si>
    <t>Cash flows'!A1</t>
  </si>
  <si>
    <t>DPR without subsidy</t>
  </si>
  <si>
    <t>iv.</t>
  </si>
  <si>
    <t>Labour/ helper</t>
  </si>
  <si>
    <t>Annual cost</t>
  </si>
  <si>
    <t>Add: benefits @ 15%</t>
  </si>
  <si>
    <t>Distribution of profits (50%)</t>
  </si>
  <si>
    <t>1. asssumed that 60 days of purchases are average creditors maintained</t>
  </si>
  <si>
    <t>1. Sales price per kg of output is 20, expected to increase 6% per annum</t>
  </si>
  <si>
    <t>5. Closing stock is valued at Rs. 20 per kg</t>
  </si>
  <si>
    <t>1. assumed that 2% of the output is normal loss in production processs</t>
  </si>
  <si>
    <t>Interest on working capital is assumed to be 10% p.a.</t>
  </si>
  <si>
    <t>Assumed that 2% of the output is normal loss in production processs</t>
  </si>
  <si>
    <t>Asssumed that 60 days of purchases are average creditors maintained</t>
  </si>
  <si>
    <t>1. Interest on working capital is computed taking 10% rate of interest p.a.</t>
  </si>
  <si>
    <t>Annexure 8 - Details of Manpower</t>
  </si>
  <si>
    <t>Annexure 14 - Cash flow statement</t>
  </si>
  <si>
    <t>Fruit waxing machine (Semi Automatic)</t>
  </si>
  <si>
    <t>Fruit grading machine</t>
  </si>
  <si>
    <t>Dryer</t>
  </si>
  <si>
    <t>Fruit washer</t>
  </si>
  <si>
    <t>Screw conveyor</t>
  </si>
  <si>
    <t>Packaging machine</t>
  </si>
  <si>
    <t>Electrical</t>
  </si>
  <si>
    <t>Miscellaneous expense</t>
  </si>
  <si>
    <t>Tata Yodha for foraying the produce to and from the factory premise</t>
  </si>
  <si>
    <t>Building construction</t>
  </si>
  <si>
    <t>Selling and packing expenses @ Rs. 1 per kg</t>
  </si>
  <si>
    <t>Transportation charges</t>
  </si>
  <si>
    <t>Fixed transportation</t>
  </si>
  <si>
    <t>Total Building</t>
  </si>
  <si>
    <t>Transportation</t>
  </si>
  <si>
    <t>sales prices for Kinnow per kg in year I</t>
  </si>
  <si>
    <t>purchase prices for kinnow per kg in year I</t>
  </si>
  <si>
    <t>sales prices for Apple per kg in year I</t>
  </si>
  <si>
    <t>purchase prices for apple per kg in year I</t>
  </si>
  <si>
    <t>Sales qty Kinnow</t>
  </si>
  <si>
    <t>Sales Kinnow</t>
  </si>
  <si>
    <t>Sales Apple</t>
  </si>
  <si>
    <t>Sales qty Apple</t>
  </si>
  <si>
    <t>Production hours in a year Kinnow</t>
  </si>
  <si>
    <t>Production qty in a year Kinnow</t>
  </si>
  <si>
    <t>Production hours in a year Apple</t>
  </si>
  <si>
    <t>Production qty in a year Apple</t>
  </si>
  <si>
    <t>Production capacity for Kinnow and apple each</t>
  </si>
  <si>
    <t>Production at 100% capacity for Kinnow and Apple</t>
  </si>
  <si>
    <t>Production qty Kinnow</t>
  </si>
  <si>
    <t>Production qty Apple</t>
  </si>
  <si>
    <t>Output stock calculation Kinnow</t>
  </si>
  <si>
    <t>Total sales</t>
  </si>
  <si>
    <t>Output stock calculation Apple</t>
  </si>
  <si>
    <t>Value of Closing Stock</t>
  </si>
  <si>
    <t>Running and Manintenance expense @7.5% of procurement cost</t>
  </si>
  <si>
    <t>3. Electricity are semi-fixed cost. Rs. 1,75,000 pa is fixed, balance is variable at Rs. 12 per unit usage</t>
  </si>
  <si>
    <t>Kinnow Rs. per kg</t>
  </si>
  <si>
    <t>Apple Rs. per kg</t>
  </si>
  <si>
    <t>Procurement cost of fruit</t>
  </si>
  <si>
    <t>Contribution margin</t>
  </si>
  <si>
    <t>Sales mix</t>
  </si>
  <si>
    <t>Proportionate contribution margin</t>
  </si>
  <si>
    <t>BEP in rs.</t>
  </si>
  <si>
    <t>BEP in %</t>
  </si>
  <si>
    <t>Electricity are semi-fixed cost. Rs. 1,75,000 pa is fixed, balance is variable at Rs. 12 per unit usage</t>
  </si>
  <si>
    <t>Closing stock is valued at Rs. 25 per kg for Kinnow and Rs. 68 per kg for Apple</t>
  </si>
  <si>
    <t>1. Building</t>
  </si>
  <si>
    <t>Break even capacity at maximum capacity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</si>
</sst>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(* #,##0.000000000_);_(* \(#,##0.000000000\);_(* &quot;-&quot;??_);_(@_)"/>
    <numFmt numFmtId="167" formatCode="0.000"/>
    <numFmt numFmtId="168" formatCode="_(* #,##0.0000_);_(* \(#,##0.0000\);_(* &quot;-&quot;??_);_(@_)"/>
    <numFmt numFmtId="169" formatCode="0.000000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dobe Devanagari"/>
      <family val="1"/>
    </font>
    <font>
      <sz val="11"/>
      <color theme="1"/>
      <name val="Adobe Devanagari"/>
      <family val="1"/>
    </font>
    <font>
      <u/>
      <sz val="11"/>
      <color theme="10"/>
      <name val="Adobe Devanagari"/>
      <family val="1"/>
    </font>
    <font>
      <u/>
      <sz val="11"/>
      <color theme="1"/>
      <name val="Adobe Devanagari"/>
      <family val="1"/>
    </font>
    <font>
      <sz val="11"/>
      <name val="Adobe Devanagari"/>
      <family val="1"/>
    </font>
    <font>
      <b/>
      <sz val="11"/>
      <name val="Adobe Devanagari"/>
      <family val="1"/>
    </font>
    <font>
      <sz val="11"/>
      <color theme="0"/>
      <name val="Adobe Devanagari"/>
      <family val="1"/>
    </font>
    <font>
      <b/>
      <u/>
      <sz val="11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3">
    <xf numFmtId="0" fontId="0" fillId="0" borderId="0" xfId="0"/>
    <xf numFmtId="2" fontId="0" fillId="0" borderId="0" xfId="0" applyNumberFormat="1"/>
    <xf numFmtId="167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3" quotePrefix="1" applyFont="1" applyBorder="1"/>
    <xf numFmtId="0" fontId="5" fillId="0" borderId="1" xfId="3" applyFont="1" applyBorder="1"/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4" fillId="0" borderId="9" xfId="0" applyFont="1" applyBorder="1"/>
    <xf numFmtId="43" fontId="4" fillId="0" borderId="9" xfId="1" applyFont="1" applyBorder="1"/>
    <xf numFmtId="43" fontId="4" fillId="0" borderId="9" xfId="1" applyNumberFormat="1" applyFont="1" applyBorder="1"/>
    <xf numFmtId="43" fontId="4" fillId="0" borderId="9" xfId="0" applyNumberFormat="1" applyFont="1" applyBorder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12" xfId="0" applyFont="1" applyBorder="1"/>
    <xf numFmtId="43" fontId="4" fillId="0" borderId="10" xfId="0" applyNumberFormat="1" applyFont="1" applyBorder="1"/>
    <xf numFmtId="0" fontId="4" fillId="0" borderId="0" xfId="0" applyFont="1" applyAlignment="1">
      <alignment horizontal="left"/>
    </xf>
    <xf numFmtId="0" fontId="6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0" borderId="8" xfId="0" applyFont="1" applyBorder="1"/>
    <xf numFmtId="0" fontId="4" fillId="0" borderId="0" xfId="0" applyFont="1" applyBorder="1"/>
    <xf numFmtId="10" fontId="4" fillId="0" borderId="0" xfId="2" applyNumberFormat="1" applyFont="1"/>
    <xf numFmtId="2" fontId="4" fillId="0" borderId="0" xfId="0" applyNumberFormat="1" applyFont="1"/>
    <xf numFmtId="0" fontId="4" fillId="0" borderId="2" xfId="0" applyFont="1" applyBorder="1"/>
    <xf numFmtId="0" fontId="4" fillId="0" borderId="3" xfId="0" applyFont="1" applyBorder="1"/>
    <xf numFmtId="43" fontId="4" fillId="0" borderId="4" xfId="0" applyNumberFormat="1" applyFont="1" applyBorder="1"/>
    <xf numFmtId="168" fontId="4" fillId="0" borderId="0" xfId="0" applyNumberFormat="1" applyFont="1"/>
    <xf numFmtId="0" fontId="4" fillId="2" borderId="2" xfId="0" applyFont="1" applyFill="1" applyBorder="1"/>
    <xf numFmtId="164" fontId="4" fillId="0" borderId="1" xfId="1" applyNumberFormat="1" applyFont="1" applyBorder="1"/>
    <xf numFmtId="0" fontId="4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5" xfId="0" applyFont="1" applyBorder="1"/>
    <xf numFmtId="0" fontId="3" fillId="0" borderId="6" xfId="0" applyFont="1" applyBorder="1"/>
    <xf numFmtId="0" fontId="4" fillId="0" borderId="15" xfId="0" applyFont="1" applyBorder="1"/>
    <xf numFmtId="0" fontId="4" fillId="0" borderId="7" xfId="0" applyFont="1" applyBorder="1"/>
    <xf numFmtId="164" fontId="4" fillId="0" borderId="11" xfId="0" applyNumberFormat="1" applyFont="1" applyBorder="1"/>
    <xf numFmtId="43" fontId="4" fillId="0" borderId="11" xfId="0" applyNumberFormat="1" applyFont="1" applyBorder="1"/>
    <xf numFmtId="0" fontId="4" fillId="0" borderId="0" xfId="0" applyFont="1" applyFill="1" applyBorder="1"/>
    <xf numFmtId="164" fontId="4" fillId="0" borderId="11" xfId="1" applyNumberFormat="1" applyFont="1" applyBorder="1"/>
    <xf numFmtId="164" fontId="4" fillId="0" borderId="9" xfId="0" applyNumberFormat="1" applyFont="1" applyBorder="1"/>
    <xf numFmtId="0" fontId="3" fillId="0" borderId="0" xfId="0" applyFont="1" applyBorder="1"/>
    <xf numFmtId="164" fontId="4" fillId="0" borderId="9" xfId="1" applyNumberFormat="1" applyFont="1" applyBorder="1"/>
    <xf numFmtId="164" fontId="4" fillId="0" borderId="8" xfId="0" applyNumberFormat="1" applyFont="1" applyFill="1" applyBorder="1"/>
    <xf numFmtId="0" fontId="4" fillId="0" borderId="13" xfId="0" applyFont="1" applyBorder="1"/>
    <xf numFmtId="0" fontId="4" fillId="0" borderId="14" xfId="0" applyFont="1" applyBorder="1"/>
    <xf numFmtId="164" fontId="4" fillId="0" borderId="0" xfId="0" applyNumberFormat="1" applyFont="1"/>
    <xf numFmtId="0" fontId="6" fillId="0" borderId="0" xfId="0" applyFont="1"/>
    <xf numFmtId="164" fontId="4" fillId="0" borderId="1" xfId="0" applyNumberFormat="1" applyFont="1" applyBorder="1"/>
    <xf numFmtId="0" fontId="4" fillId="0" borderId="6" xfId="0" applyFont="1" applyBorder="1"/>
    <xf numFmtId="164" fontId="4" fillId="0" borderId="10" xfId="0" applyNumberFormat="1" applyFont="1" applyBorder="1"/>
    <xf numFmtId="164" fontId="4" fillId="0" borderId="4" xfId="0" applyNumberFormat="1" applyFont="1" applyBorder="1"/>
    <xf numFmtId="9" fontId="4" fillId="0" borderId="0" xfId="0" applyNumberFormat="1" applyFont="1"/>
    <xf numFmtId="9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3" fontId="4" fillId="0" borderId="1" xfId="0" applyNumberFormat="1" applyFont="1" applyBorder="1"/>
    <xf numFmtId="0" fontId="4" fillId="0" borderId="0" xfId="0" applyFont="1" applyAlignment="1">
      <alignment horizontal="right"/>
    </xf>
    <xf numFmtId="43" fontId="4" fillId="0" borderId="1" xfId="1" applyFont="1" applyBorder="1"/>
    <xf numFmtId="164" fontId="4" fillId="0" borderId="0" xfId="1" applyNumberFormat="1" applyFont="1"/>
    <xf numFmtId="0" fontId="4" fillId="0" borderId="0" xfId="0" quotePrefix="1" applyFont="1"/>
    <xf numFmtId="43" fontId="4" fillId="0" borderId="0" xfId="0" applyNumberFormat="1" applyFont="1"/>
    <xf numFmtId="10" fontId="4" fillId="0" borderId="0" xfId="0" applyNumberFormat="1" applyFont="1"/>
    <xf numFmtId="2" fontId="4" fillId="0" borderId="1" xfId="0" applyNumberFormat="1" applyFont="1" applyBorder="1"/>
    <xf numFmtId="0" fontId="7" fillId="0" borderId="0" xfId="0" applyFont="1"/>
    <xf numFmtId="0" fontId="3" fillId="2" borderId="1" xfId="0" applyFont="1" applyFill="1" applyBorder="1"/>
    <xf numFmtId="1" fontId="4" fillId="0" borderId="1" xfId="0" applyNumberFormat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64" fontId="4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 wrapText="1"/>
    </xf>
    <xf numFmtId="0" fontId="4" fillId="0" borderId="0" xfId="0" applyFont="1" applyAlignment="1"/>
    <xf numFmtId="0" fontId="8" fillId="0" borderId="0" xfId="0" applyFont="1"/>
    <xf numFmtId="0" fontId="7" fillId="0" borderId="1" xfId="0" applyFont="1" applyBorder="1"/>
    <xf numFmtId="164" fontId="7" fillId="0" borderId="1" xfId="1" applyNumberFormat="1" applyFont="1" applyBorder="1"/>
    <xf numFmtId="164" fontId="9" fillId="0" borderId="0" xfId="1" applyNumberFormat="1" applyFont="1"/>
    <xf numFmtId="10" fontId="9" fillId="0" borderId="0" xfId="1" applyNumberFormat="1" applyFont="1"/>
    <xf numFmtId="0" fontId="9" fillId="0" borderId="0" xfId="0" applyFont="1"/>
    <xf numFmtId="166" fontId="9" fillId="0" borderId="0" xfId="1" applyNumberFormat="1" applyFont="1"/>
    <xf numFmtId="164" fontId="9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0" xfId="1" applyNumberFormat="1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164" fontId="4" fillId="0" borderId="9" xfId="1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67" fontId="4" fillId="0" borderId="0" xfId="0" applyNumberFormat="1" applyFont="1"/>
    <xf numFmtId="0" fontId="4" fillId="2" borderId="8" xfId="0" applyFont="1" applyFill="1" applyBorder="1"/>
    <xf numFmtId="0" fontId="4" fillId="2" borderId="0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164" fontId="4" fillId="2" borderId="9" xfId="0" applyNumberFormat="1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1" xfId="0" quotePrefix="1" applyFont="1" applyBorder="1"/>
    <xf numFmtId="168" fontId="4" fillId="0" borderId="1" xfId="0" applyNumberFormat="1" applyFont="1" applyBorder="1"/>
    <xf numFmtId="2" fontId="4" fillId="0" borderId="1" xfId="2" applyNumberFormat="1" applyFont="1" applyBorder="1"/>
    <xf numFmtId="10" fontId="4" fillId="0" borderId="1" xfId="2" applyNumberFormat="1" applyFont="1" applyBorder="1"/>
    <xf numFmtId="0" fontId="3" fillId="2" borderId="1" xfId="0" applyFont="1" applyFill="1" applyBorder="1" applyAlignment="1">
      <alignment horizontal="center"/>
    </xf>
    <xf numFmtId="1" fontId="4" fillId="0" borderId="0" xfId="0" applyNumberFormat="1" applyFont="1" applyBorder="1"/>
    <xf numFmtId="0" fontId="4" fillId="0" borderId="0" xfId="0" applyFont="1" applyAlignment="1">
      <alignment wrapText="1"/>
    </xf>
    <xf numFmtId="164" fontId="4" fillId="0" borderId="0" xfId="0" applyNumberFormat="1" applyFont="1" applyBorder="1"/>
    <xf numFmtId="10" fontId="4" fillId="0" borderId="0" xfId="2" applyNumberFormat="1" applyFont="1" applyBorder="1"/>
    <xf numFmtId="0" fontId="4" fillId="3" borderId="0" xfId="0" applyFont="1" applyFill="1"/>
    <xf numFmtId="10" fontId="4" fillId="0" borderId="1" xfId="0" applyNumberFormat="1" applyFont="1" applyBorder="1"/>
    <xf numFmtId="0" fontId="4" fillId="2" borderId="0" xfId="0" applyFont="1" applyFill="1"/>
    <xf numFmtId="0" fontId="10" fillId="2" borderId="0" xfId="0" applyFont="1" applyFill="1"/>
    <xf numFmtId="169" fontId="4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Assignments/6.%20Ashiwini%20Mittal%20uncle's%20bid%20for%20work/1.%20F&amp;V%20Processing%20unit/F&amp;V%20Processing%20Unit%20Annexures%20-%20With%20Subsi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 1"/>
      <sheetName val="Ann 2"/>
      <sheetName val="Ann 3"/>
      <sheetName val="Ann 4"/>
      <sheetName val="Ann 5"/>
      <sheetName val="Ann 6"/>
      <sheetName val="Ann 7"/>
      <sheetName val="Ann 8"/>
      <sheetName val="Ann 9"/>
      <sheetName val="Ann 10"/>
      <sheetName val="Ann 11"/>
      <sheetName val="Ann 12"/>
      <sheetName val="Ann 13"/>
      <sheetName val="Budgets"/>
      <sheetName val="Assumptions"/>
      <sheetName val="For word file"/>
      <sheetName val="Sheet1"/>
    </sheetNames>
    <sheetDataSet>
      <sheetData sheetId="0"/>
      <sheetData sheetId="1">
        <row r="3">
          <cell r="A3" t="str">
            <v>Annexure 1 - Estimated cost of the project</v>
          </cell>
        </row>
      </sheetData>
      <sheetData sheetId="2">
        <row r="1">
          <cell r="A1" t="str">
            <v>Annexure 2 - Means of Finance</v>
          </cell>
        </row>
      </sheetData>
      <sheetData sheetId="3"/>
      <sheetData sheetId="4">
        <row r="1">
          <cell r="A1" t="str">
            <v>Annexure 4 - Estimated Cost of Production</v>
          </cell>
        </row>
      </sheetData>
      <sheetData sheetId="5">
        <row r="1">
          <cell r="A1" t="str">
            <v>Annexure 5- Projected balance sheet</v>
          </cell>
        </row>
      </sheetData>
      <sheetData sheetId="6"/>
      <sheetData sheetId="7"/>
      <sheetData sheetId="8"/>
      <sheetData sheetId="9"/>
      <sheetData sheetId="10"/>
      <sheetData sheetId="11">
        <row r="1">
          <cell r="A1" t="str">
            <v>Annexure 11- Break even analysis (At maximum capacity utilization)</v>
          </cell>
        </row>
      </sheetData>
      <sheetData sheetId="12"/>
      <sheetData sheetId="13"/>
      <sheetData sheetId="14">
        <row r="1">
          <cell r="A1" t="str">
            <v>Sales Budget</v>
          </cell>
        </row>
      </sheetData>
      <sheetData sheetId="15">
        <row r="1">
          <cell r="B1" t="str">
            <v>Assumptions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C8BE-60EA-43EA-96F6-72E97A57CA2D}">
  <dimension ref="A1:B15"/>
  <sheetViews>
    <sheetView workbookViewId="0"/>
  </sheetViews>
  <sheetFormatPr defaultRowHeight="17" x14ac:dyDescent="0.6"/>
  <cols>
    <col min="1" max="1" width="57.90625" style="4" bestFit="1" customWidth="1"/>
    <col min="2" max="2" width="14.453125" style="4" bestFit="1" customWidth="1"/>
    <col min="3" max="16384" width="8.7265625" style="4"/>
  </cols>
  <sheetData>
    <row r="1" spans="1:2" x14ac:dyDescent="0.6">
      <c r="A1" s="3" t="s">
        <v>229</v>
      </c>
    </row>
    <row r="3" spans="1:2" x14ac:dyDescent="0.6">
      <c r="A3" s="69" t="s">
        <v>230</v>
      </c>
      <c r="B3" s="69" t="s">
        <v>231</v>
      </c>
    </row>
    <row r="4" spans="1:2" x14ac:dyDescent="0.6">
      <c r="A4" s="5" t="str">
        <f>'[1]Ann 1'!A3</f>
        <v>Annexure 1 - Estimated cost of the project</v>
      </c>
      <c r="B4" s="6" t="s">
        <v>232</v>
      </c>
    </row>
    <row r="5" spans="1:2" x14ac:dyDescent="0.6">
      <c r="A5" s="5" t="str">
        <f>'[1]Ann 2'!A1</f>
        <v>Annexure 2 - Means of Finance</v>
      </c>
      <c r="B5" s="6" t="s">
        <v>233</v>
      </c>
    </row>
    <row r="6" spans="1:2" x14ac:dyDescent="0.6">
      <c r="A6" s="5" t="str">
        <f>'[1]Ann 4'!A1</f>
        <v>Annexure 4 - Estimated Cost of Production</v>
      </c>
      <c r="B6" s="6" t="s">
        <v>234</v>
      </c>
    </row>
    <row r="7" spans="1:2" x14ac:dyDescent="0.6">
      <c r="A7" s="5" t="str">
        <f>'[1]Ann 5'!A1</f>
        <v>Annexure 5- Projected balance sheet</v>
      </c>
      <c r="B7" s="6" t="s">
        <v>235</v>
      </c>
    </row>
    <row r="8" spans="1:2" x14ac:dyDescent="0.6">
      <c r="A8" s="5" t="str">
        <f>'Ann 8'!A1</f>
        <v>Annexure 8 - Details of Manpower</v>
      </c>
      <c r="B8" s="6" t="s">
        <v>236</v>
      </c>
    </row>
    <row r="9" spans="1:2" x14ac:dyDescent="0.6">
      <c r="A9" s="5" t="str">
        <f>'Ann 9'!A1</f>
        <v>Annexure 9 - Computation of Depreciation</v>
      </c>
      <c r="B9" s="6" t="s">
        <v>237</v>
      </c>
    </row>
    <row r="10" spans="1:2" x14ac:dyDescent="0.6">
      <c r="A10" s="5" t="str">
        <f>'Ann 10'!A1</f>
        <v>Annexure 10 - Calculation of Income tax</v>
      </c>
      <c r="B10" s="6" t="s">
        <v>238</v>
      </c>
    </row>
    <row r="11" spans="1:2" x14ac:dyDescent="0.6">
      <c r="A11" s="5" t="str">
        <f>'[1]Ann 11'!A1</f>
        <v>Annexure 11- Break even analysis (At maximum capacity utilization)</v>
      </c>
      <c r="B11" s="6" t="s">
        <v>239</v>
      </c>
    </row>
    <row r="12" spans="1:2" x14ac:dyDescent="0.6">
      <c r="A12" s="5" t="str">
        <f>'Ann 13'!A1</f>
        <v>Annexure 13 - Repayment schedule</v>
      </c>
      <c r="B12" s="6" t="s">
        <v>240</v>
      </c>
    </row>
    <row r="13" spans="1:2" x14ac:dyDescent="0.6">
      <c r="A13" s="5" t="str">
        <f>[1]Assumptions!B1</f>
        <v>Assumptions</v>
      </c>
      <c r="B13" s="7" t="s">
        <v>241</v>
      </c>
    </row>
    <row r="14" spans="1:2" x14ac:dyDescent="0.6">
      <c r="A14" s="5" t="str">
        <f>'Ann 14'!A1</f>
        <v>Annexure 14 - Cash flow statement</v>
      </c>
      <c r="B14" s="6" t="s">
        <v>247</v>
      </c>
    </row>
    <row r="15" spans="1:2" x14ac:dyDescent="0.6">
      <c r="A15" s="5" t="str">
        <f>[1]Budgets!A1</f>
        <v>Sales Budget</v>
      </c>
      <c r="B15" s="7" t="s">
        <v>242</v>
      </c>
    </row>
  </sheetData>
  <hyperlinks>
    <hyperlink ref="B4" location="'Ann 1'!A1" display="Ann 1'!A1" xr:uid="{8392AB6D-212E-479A-A76E-720E2C0CDF1A}"/>
    <hyperlink ref="B5" location="'Ann 2'!A1" display="Ann 2'!A1" xr:uid="{B4E13D04-8C42-46A6-BAFD-20DB089CE0CE}"/>
    <hyperlink ref="B6" location="'Ann 5'!A1" display="Ann 4'!A1" xr:uid="{13CD8BC8-123F-4B27-B558-7700BF617505}"/>
    <hyperlink ref="B7" location="'Ann 6'!A1" display="Ann 5'!A1" xr:uid="{48243C34-7BE1-4B2C-9BAF-A4BEE1FA52A7}"/>
    <hyperlink ref="B8" location="'Ann 8'!A1" display="'Ann 8'!A1" xr:uid="{4BFF2D8E-3B2F-47B1-821E-2A9D5F3C599D}"/>
    <hyperlink ref="B9" location="'Ann 9'!A1" display="'Ann 9'!A1" xr:uid="{E91052E2-C8F3-4E24-802C-38C31EA75505}"/>
    <hyperlink ref="B10" location="'Ann 10'!A1" display="'Ann 10'!A1" xr:uid="{6A4B47E0-EA66-439F-8C5A-E0DF1C723C34}"/>
    <hyperlink ref="B11" location="'Ann 11'!A1" display="'Ann 11'!A1" xr:uid="{91648EFB-F5F2-42E9-8853-705ACD4F62EF}"/>
    <hyperlink ref="B12" location="'Ann 13'!A1" display="'Ann 13'!A1" xr:uid="{D748CAF8-9377-4D17-A5F2-F1A083E6D389}"/>
    <hyperlink ref="B13" location="Assumptions!A1" display="Assumptions!A1" xr:uid="{E978F649-0532-497D-92AA-EF316AAFA8E7}"/>
    <hyperlink ref="B15" location="Budgets!A1" display="Budgets!A1" xr:uid="{4CD23AF4-AE8A-40D8-A5ED-3F33524C9974}"/>
    <hyperlink ref="B14" location="'Cash flows'!A1" display="'Cash flows'!A1" xr:uid="{718213C1-E053-4B01-87D5-A7B478363B5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239D-A793-4055-957C-367EF6B7112E}">
  <sheetPr>
    <pageSetUpPr fitToPage="1"/>
  </sheetPr>
  <dimension ref="A1:G38"/>
  <sheetViews>
    <sheetView topLeftCell="A24" workbookViewId="0">
      <selection activeCell="A37" sqref="A37"/>
    </sheetView>
  </sheetViews>
  <sheetFormatPr defaultRowHeight="17" x14ac:dyDescent="0.6"/>
  <cols>
    <col min="1" max="1" width="8.7265625" style="4"/>
    <col min="2" max="2" width="27" style="4" bestFit="1" customWidth="1"/>
    <col min="3" max="3" width="14.6328125" style="4" bestFit="1" customWidth="1"/>
    <col min="4" max="4" width="13.54296875" style="4" bestFit="1" customWidth="1"/>
    <col min="5" max="5" width="13.6328125" style="4" bestFit="1" customWidth="1"/>
    <col min="6" max="14" width="8.7265625" style="4"/>
    <col min="15" max="15" width="13.6328125" style="4" bestFit="1" customWidth="1"/>
    <col min="16" max="16" width="12.54296875" style="4" bestFit="1" customWidth="1"/>
    <col min="17" max="16384" width="8.7265625" style="4"/>
  </cols>
  <sheetData>
    <row r="1" spans="1:7" x14ac:dyDescent="0.6">
      <c r="A1" s="3" t="s">
        <v>71</v>
      </c>
    </row>
    <row r="3" spans="1:7" x14ac:dyDescent="0.6">
      <c r="A3" s="116" t="s">
        <v>312</v>
      </c>
      <c r="B3" s="115"/>
      <c r="C3" s="115"/>
      <c r="D3" s="115"/>
      <c r="E3" s="115"/>
    </row>
    <row r="5" spans="1:7" x14ac:dyDescent="0.6">
      <c r="B5" s="4" t="s">
        <v>50</v>
      </c>
      <c r="E5" s="63">
        <f>Budgets!B12/Budgets!B5</f>
        <v>264383999.99999997</v>
      </c>
    </row>
    <row r="6" spans="1:7" x14ac:dyDescent="0.6">
      <c r="B6" s="4" t="s">
        <v>72</v>
      </c>
    </row>
    <row r="7" spans="1:7" x14ac:dyDescent="0.6">
      <c r="B7" s="64" t="s">
        <v>196</v>
      </c>
      <c r="D7" s="63">
        <f>'Ann 4'!C7/70%</f>
        <v>225216000</v>
      </c>
    </row>
    <row r="8" spans="1:7" x14ac:dyDescent="0.6">
      <c r="B8" s="64" t="s">
        <v>73</v>
      </c>
      <c r="D8" s="50">
        <f>D7*7.5%</f>
        <v>16891200</v>
      </c>
    </row>
    <row r="9" spans="1:7" x14ac:dyDescent="0.6">
      <c r="B9" s="64" t="s">
        <v>74</v>
      </c>
      <c r="D9" s="50">
        <f>1*Budgets!B23</f>
        <v>5280000</v>
      </c>
      <c r="F9" s="64"/>
    </row>
    <row r="10" spans="1:7" x14ac:dyDescent="0.6">
      <c r="B10" s="64" t="s">
        <v>75</v>
      </c>
      <c r="D10" s="50">
        <f>10000000*10%</f>
        <v>1000000</v>
      </c>
      <c r="E10" s="50"/>
    </row>
    <row r="11" spans="1:7" x14ac:dyDescent="0.6">
      <c r="B11" s="64" t="s">
        <v>79</v>
      </c>
      <c r="D11" s="50">
        <f>140000+'Ann 4'!K43</f>
        <v>341014.34609374998</v>
      </c>
      <c r="E11" s="50">
        <f>SUM(D7:D11)</f>
        <v>248728214.34609374</v>
      </c>
      <c r="G11" s="65"/>
    </row>
    <row r="12" spans="1:7" x14ac:dyDescent="0.6">
      <c r="B12" s="4" t="s">
        <v>76</v>
      </c>
      <c r="E12" s="50">
        <f>E5-E11</f>
        <v>15655785.653906226</v>
      </c>
    </row>
    <row r="13" spans="1:7" x14ac:dyDescent="0.6">
      <c r="B13" s="4" t="s">
        <v>77</v>
      </c>
    </row>
    <row r="14" spans="1:7" x14ac:dyDescent="0.6">
      <c r="B14" s="4" t="s">
        <v>78</v>
      </c>
      <c r="E14" s="50">
        <f>'Ann 4'!C16</f>
        <v>2260440</v>
      </c>
    </row>
    <row r="15" spans="1:7" x14ac:dyDescent="0.6">
      <c r="B15" s="4" t="s">
        <v>80</v>
      </c>
      <c r="E15" s="50">
        <f>'Ann 9'!F12</f>
        <v>910000</v>
      </c>
    </row>
    <row r="16" spans="1:7" x14ac:dyDescent="0.6">
      <c r="B16" s="4" t="s">
        <v>189</v>
      </c>
      <c r="E16" s="50">
        <v>175000</v>
      </c>
    </row>
    <row r="17" spans="2:5" x14ac:dyDescent="0.6">
      <c r="B17" s="4" t="s">
        <v>276</v>
      </c>
      <c r="E17" s="50">
        <v>250000</v>
      </c>
    </row>
    <row r="18" spans="2:5" x14ac:dyDescent="0.6">
      <c r="B18" s="4" t="s">
        <v>225</v>
      </c>
      <c r="E18" s="50">
        <f>SUM('Ann 13'!E9:E12)*100000</f>
        <v>344059.61538461538</v>
      </c>
    </row>
    <row r="19" spans="2:5" x14ac:dyDescent="0.6">
      <c r="B19" s="4" t="s">
        <v>81</v>
      </c>
      <c r="E19" s="50">
        <f>SUM(E14:E18)</f>
        <v>3939499.6153846155</v>
      </c>
    </row>
    <row r="21" spans="2:5" x14ac:dyDescent="0.6">
      <c r="B21" s="108" t="s">
        <v>3</v>
      </c>
      <c r="C21" s="108" t="s">
        <v>301</v>
      </c>
      <c r="D21" s="108" t="s">
        <v>302</v>
      </c>
      <c r="E21" s="113"/>
    </row>
    <row r="22" spans="2:5" x14ac:dyDescent="0.6">
      <c r="B22" s="5" t="s">
        <v>86</v>
      </c>
      <c r="C22" s="5">
        <f>Budgets!C23</f>
        <v>27</v>
      </c>
      <c r="D22" s="5">
        <f>Budgets!E23</f>
        <v>70</v>
      </c>
      <c r="E22" s="113"/>
    </row>
    <row r="23" spans="2:5" x14ac:dyDescent="0.6">
      <c r="B23" s="104" t="s">
        <v>303</v>
      </c>
      <c r="C23" s="5">
        <f>Budgets!D23</f>
        <v>20</v>
      </c>
      <c r="D23" s="5">
        <f>Budgets!F23</f>
        <v>60</v>
      </c>
      <c r="E23" s="113"/>
    </row>
    <row r="24" spans="2:5" x14ac:dyDescent="0.6">
      <c r="B24" s="104" t="s">
        <v>85</v>
      </c>
      <c r="C24" s="5">
        <f>C22*7.5%</f>
        <v>2.0249999999999999</v>
      </c>
      <c r="D24" s="5">
        <f>D22*7.5%</f>
        <v>5.25</v>
      </c>
      <c r="E24" s="113"/>
    </row>
    <row r="25" spans="2:5" x14ac:dyDescent="0.6">
      <c r="B25" s="104" t="s">
        <v>84</v>
      </c>
      <c r="C25" s="105">
        <f>D10/Budgets!B23</f>
        <v>0.18939393939393939</v>
      </c>
      <c r="D25" s="105">
        <f>D10/Budgets!B23</f>
        <v>0.18939393939393939</v>
      </c>
      <c r="E25" s="113"/>
    </row>
    <row r="26" spans="2:5" x14ac:dyDescent="0.6">
      <c r="B26" s="104" t="s">
        <v>278</v>
      </c>
      <c r="C26" s="5">
        <v>1</v>
      </c>
      <c r="D26" s="5">
        <v>1</v>
      </c>
      <c r="E26" s="113"/>
    </row>
    <row r="27" spans="2:5" x14ac:dyDescent="0.6">
      <c r="B27" s="5" t="s">
        <v>83</v>
      </c>
      <c r="C27" s="5">
        <v>1</v>
      </c>
      <c r="D27" s="5">
        <v>1</v>
      </c>
      <c r="E27" s="113"/>
    </row>
    <row r="28" spans="2:5" x14ac:dyDescent="0.6">
      <c r="B28" s="5" t="s">
        <v>82</v>
      </c>
      <c r="C28" s="105">
        <f>'Ann 4'!K44/Budgets!B23</f>
        <v>0.45685078657670458</v>
      </c>
      <c r="D28" s="105">
        <f>'Ann 4'!K44/Budgets!B23</f>
        <v>0.45685078657670458</v>
      </c>
      <c r="E28" s="113"/>
    </row>
    <row r="29" spans="2:5" x14ac:dyDescent="0.6">
      <c r="B29" s="5" t="s">
        <v>224</v>
      </c>
      <c r="C29" s="5">
        <f>C22-SUM(C23:C28)</f>
        <v>2.3287552740293584</v>
      </c>
      <c r="D29" s="5">
        <f>D22-SUM(D23:D28)</f>
        <v>2.1037552740293535</v>
      </c>
      <c r="E29" s="113"/>
    </row>
    <row r="30" spans="2:5" x14ac:dyDescent="0.6">
      <c r="B30" s="5" t="s">
        <v>304</v>
      </c>
      <c r="C30" s="107">
        <f>C29/C22</f>
        <v>8.6250195334420687E-2</v>
      </c>
      <c r="D30" s="107">
        <f>D29/D22</f>
        <v>3.0053646771847908E-2</v>
      </c>
      <c r="E30" s="113"/>
    </row>
    <row r="31" spans="2:5" x14ac:dyDescent="0.6">
      <c r="B31" s="38" t="s">
        <v>305</v>
      </c>
      <c r="C31" s="107">
        <f>Budgets!B18/Budgets!B23</f>
        <v>0.45454545454545453</v>
      </c>
      <c r="D31" s="114">
        <f>1-C31</f>
        <v>0.54545454545454541</v>
      </c>
      <c r="E31" s="113"/>
    </row>
    <row r="32" spans="2:5" x14ac:dyDescent="0.6">
      <c r="B32" s="5" t="s">
        <v>306</v>
      </c>
      <c r="C32" s="107">
        <f>C30*C31</f>
        <v>3.9204634242918493E-2</v>
      </c>
      <c r="D32" s="107">
        <f>D30*D31</f>
        <v>1.6392898239189768E-2</v>
      </c>
      <c r="E32" s="114">
        <f>SUM(C32:D32)</f>
        <v>5.5597532482108261E-2</v>
      </c>
    </row>
    <row r="33" spans="1:3" x14ac:dyDescent="0.6">
      <c r="B33" s="25"/>
      <c r="C33" s="112"/>
    </row>
    <row r="34" spans="1:3" x14ac:dyDescent="0.6">
      <c r="B34" s="5" t="s">
        <v>307</v>
      </c>
      <c r="C34" s="106">
        <f>E19/E32</f>
        <v>70857454.270158097</v>
      </c>
    </row>
    <row r="35" spans="1:3" x14ac:dyDescent="0.6">
      <c r="B35" s="5" t="s">
        <v>308</v>
      </c>
      <c r="C35" s="107">
        <f>C34/(Budgets!B12/70%)</f>
        <v>0.26800961582455107</v>
      </c>
    </row>
    <row r="36" spans="1:3" x14ac:dyDescent="0.6">
      <c r="C36" s="26"/>
    </row>
    <row r="37" spans="1:3" x14ac:dyDescent="0.6">
      <c r="A37" s="4" t="s">
        <v>159</v>
      </c>
    </row>
    <row r="38" spans="1:3" x14ac:dyDescent="0.6">
      <c r="A38" s="4" t="s">
        <v>261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098D-FBA0-4F7E-BF3C-624224F47C27}">
  <dimension ref="A1:K7"/>
  <sheetViews>
    <sheetView workbookViewId="0">
      <selection activeCell="A8" sqref="A8"/>
    </sheetView>
  </sheetViews>
  <sheetFormatPr defaultRowHeight="14.5" x14ac:dyDescent="0.35"/>
  <sheetData>
    <row r="1" spans="1:11" x14ac:dyDescent="0.35">
      <c r="A1" t="s">
        <v>87</v>
      </c>
    </row>
    <row r="3" spans="1:11" x14ac:dyDescent="0.35">
      <c r="C3" s="121" t="s">
        <v>88</v>
      </c>
      <c r="D3" s="121"/>
      <c r="E3" s="121"/>
      <c r="F3" s="121"/>
      <c r="G3" s="121"/>
      <c r="H3" s="121"/>
      <c r="I3" s="121"/>
      <c r="J3" s="121"/>
      <c r="K3" s="121"/>
    </row>
    <row r="4" spans="1:11" x14ac:dyDescent="0.35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</row>
    <row r="5" spans="1:11" x14ac:dyDescent="0.35">
      <c r="A5" t="s">
        <v>89</v>
      </c>
      <c r="C5" t="e">
        <f>'Ann 4'!#REF!</f>
        <v>#REF!</v>
      </c>
      <c r="D5" t="e">
        <f>'Ann 4'!#REF!</f>
        <v>#REF!</v>
      </c>
      <c r="E5" t="e">
        <f>'Ann 4'!#REF!</f>
        <v>#REF!</v>
      </c>
      <c r="F5" t="e">
        <f>'Ann 4'!#REF!</f>
        <v>#REF!</v>
      </c>
      <c r="G5" t="e">
        <f>'Ann 4'!#REF!</f>
        <v>#REF!</v>
      </c>
      <c r="H5" t="e">
        <f>'Ann 4'!#REF!</f>
        <v>#REF!</v>
      </c>
      <c r="I5" t="e">
        <f>'Ann 4'!#REF!</f>
        <v>#REF!</v>
      </c>
      <c r="J5" t="e">
        <f>'Ann 4'!#REF!</f>
        <v>#REF!</v>
      </c>
      <c r="K5" t="e">
        <f>'Ann 4'!#REF!</f>
        <v>#REF!</v>
      </c>
    </row>
    <row r="6" spans="1:11" x14ac:dyDescent="0.35">
      <c r="A6" t="s">
        <v>90</v>
      </c>
      <c r="C6" t="e">
        <f>'Ann 4'!#REF!</f>
        <v>#REF!</v>
      </c>
      <c r="D6" t="e">
        <f>'Ann 4'!#REF!</f>
        <v>#REF!</v>
      </c>
      <c r="E6" t="e">
        <f>'Ann 4'!#REF!</f>
        <v>#REF!</v>
      </c>
      <c r="F6" t="e">
        <f>'Ann 4'!#REF!</f>
        <v>#REF!</v>
      </c>
      <c r="G6" t="e">
        <f>'Ann 4'!#REF!</f>
        <v>#REF!</v>
      </c>
      <c r="H6" t="e">
        <f>'Ann 4'!#REF!</f>
        <v>#REF!</v>
      </c>
      <c r="I6" t="e">
        <f>'Ann 4'!#REF!</f>
        <v>#REF!</v>
      </c>
      <c r="J6" t="e">
        <f>'Ann 4'!#REF!</f>
        <v>#REF!</v>
      </c>
      <c r="K6" t="e">
        <f>'Ann 4'!#REF!</f>
        <v>#REF!</v>
      </c>
    </row>
    <row r="7" spans="1:11" x14ac:dyDescent="0.35">
      <c r="A7" t="s">
        <v>91</v>
      </c>
    </row>
  </sheetData>
  <mergeCells count="1">
    <mergeCell ref="C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F0C2-594D-4936-9810-7D289B91BEE1}">
  <sheetPr>
    <pageSetUpPr fitToPage="1"/>
  </sheetPr>
  <dimension ref="A1:G36"/>
  <sheetViews>
    <sheetView tabSelected="1" workbookViewId="0"/>
  </sheetViews>
  <sheetFormatPr defaultRowHeight="17" x14ac:dyDescent="0.6"/>
  <cols>
    <col min="1" max="1" width="4.54296875" style="4" bestFit="1" customWidth="1"/>
    <col min="2" max="2" width="7.36328125" style="4" bestFit="1" customWidth="1"/>
    <col min="3" max="3" width="17.81640625" style="4" bestFit="1" customWidth="1"/>
    <col min="4" max="4" width="17.36328125" style="4" bestFit="1" customWidth="1"/>
    <col min="5" max="5" width="7.26953125" style="4" bestFit="1" customWidth="1"/>
    <col min="6" max="16384" width="8.7265625" style="4"/>
  </cols>
  <sheetData>
    <row r="1" spans="1:7" x14ac:dyDescent="0.6">
      <c r="A1" s="3" t="s">
        <v>97</v>
      </c>
    </row>
    <row r="3" spans="1:7" x14ac:dyDescent="0.6">
      <c r="A3" s="51" t="s">
        <v>98</v>
      </c>
    </row>
    <row r="4" spans="1:7" x14ac:dyDescent="0.6">
      <c r="A4" s="4" t="s">
        <v>99</v>
      </c>
      <c r="D4" s="27">
        <f>'Ann 2'!C6</f>
        <v>57.900000000000006</v>
      </c>
    </row>
    <row r="5" spans="1:7" x14ac:dyDescent="0.6">
      <c r="A5" s="4" t="s">
        <v>100</v>
      </c>
      <c r="D5" s="66">
        <v>0.06</v>
      </c>
    </row>
    <row r="6" spans="1:7" x14ac:dyDescent="0.6">
      <c r="A6" s="4" t="s">
        <v>101</v>
      </c>
      <c r="D6" s="61" t="s">
        <v>163</v>
      </c>
    </row>
    <row r="8" spans="1:7" x14ac:dyDescent="0.6">
      <c r="A8" s="69" t="s">
        <v>70</v>
      </c>
      <c r="B8" s="69" t="s">
        <v>102</v>
      </c>
      <c r="C8" s="69" t="s">
        <v>103</v>
      </c>
      <c r="D8" s="69" t="s">
        <v>105</v>
      </c>
      <c r="E8" s="69" t="s">
        <v>104</v>
      </c>
    </row>
    <row r="9" spans="1:7" x14ac:dyDescent="0.6">
      <c r="A9" s="122">
        <v>1</v>
      </c>
      <c r="B9" s="5">
        <v>1</v>
      </c>
      <c r="C9" s="67">
        <f>$D$4</f>
        <v>57.900000000000006</v>
      </c>
      <c r="D9" s="5">
        <v>0</v>
      </c>
      <c r="E9" s="5">
        <f>C9*$D$5/4</f>
        <v>0.86850000000000005</v>
      </c>
    </row>
    <row r="10" spans="1:7" x14ac:dyDescent="0.6">
      <c r="A10" s="122"/>
      <c r="B10" s="5">
        <v>2</v>
      </c>
      <c r="C10" s="67">
        <f>$D$4</f>
        <v>57.900000000000006</v>
      </c>
      <c r="D10" s="5">
        <v>0</v>
      </c>
      <c r="E10" s="5">
        <f t="shared" ref="E10:E32" si="0">C10*$D$5/4</f>
        <v>0.86850000000000005</v>
      </c>
      <c r="G10" s="68"/>
    </row>
    <row r="11" spans="1:7" x14ac:dyDescent="0.6">
      <c r="A11" s="122"/>
      <c r="B11" s="5">
        <v>3</v>
      </c>
      <c r="C11" s="67">
        <f>$D$4</f>
        <v>57.900000000000006</v>
      </c>
      <c r="D11" s="5">
        <f>D4/26</f>
        <v>2.226923076923077</v>
      </c>
      <c r="E11" s="5">
        <f t="shared" si="0"/>
        <v>0.86850000000000005</v>
      </c>
    </row>
    <row r="12" spans="1:7" x14ac:dyDescent="0.6">
      <c r="A12" s="122"/>
      <c r="B12" s="5">
        <v>4</v>
      </c>
      <c r="C12" s="5">
        <f t="shared" ref="C12:C17" si="1">C11-D11</f>
        <v>55.673076923076927</v>
      </c>
      <c r="D12" s="5">
        <f>D11</f>
        <v>2.226923076923077</v>
      </c>
      <c r="E12" s="5">
        <f t="shared" si="0"/>
        <v>0.83509615384615388</v>
      </c>
    </row>
    <row r="13" spans="1:7" x14ac:dyDescent="0.6">
      <c r="A13" s="122">
        <v>2</v>
      </c>
      <c r="B13" s="5">
        <v>1</v>
      </c>
      <c r="C13" s="5">
        <f t="shared" si="1"/>
        <v>53.446153846153848</v>
      </c>
      <c r="D13" s="5">
        <f t="shared" ref="D13:D35" si="2">D12</f>
        <v>2.226923076923077</v>
      </c>
      <c r="E13" s="5">
        <f t="shared" si="0"/>
        <v>0.8016923076923077</v>
      </c>
    </row>
    <row r="14" spans="1:7" x14ac:dyDescent="0.6">
      <c r="A14" s="122"/>
      <c r="B14" s="5">
        <v>2</v>
      </c>
      <c r="C14" s="5">
        <f t="shared" si="1"/>
        <v>51.219230769230769</v>
      </c>
      <c r="D14" s="5">
        <f t="shared" si="2"/>
        <v>2.226923076923077</v>
      </c>
      <c r="E14" s="5">
        <f t="shared" si="0"/>
        <v>0.76828846153846153</v>
      </c>
    </row>
    <row r="15" spans="1:7" x14ac:dyDescent="0.6">
      <c r="A15" s="122"/>
      <c r="B15" s="5">
        <v>3</v>
      </c>
      <c r="C15" s="5">
        <f t="shared" si="1"/>
        <v>48.992307692307691</v>
      </c>
      <c r="D15" s="5">
        <f t="shared" si="2"/>
        <v>2.226923076923077</v>
      </c>
      <c r="E15" s="5">
        <f t="shared" si="0"/>
        <v>0.73488461538461536</v>
      </c>
    </row>
    <row r="16" spans="1:7" x14ac:dyDescent="0.6">
      <c r="A16" s="122"/>
      <c r="B16" s="5">
        <v>4</v>
      </c>
      <c r="C16" s="5">
        <f t="shared" si="1"/>
        <v>46.765384615384612</v>
      </c>
      <c r="D16" s="5">
        <f t="shared" si="2"/>
        <v>2.226923076923077</v>
      </c>
      <c r="E16" s="5">
        <f t="shared" si="0"/>
        <v>0.70148076923076919</v>
      </c>
    </row>
    <row r="17" spans="1:5" x14ac:dyDescent="0.6">
      <c r="A17" s="122">
        <v>3</v>
      </c>
      <c r="B17" s="5">
        <v>1</v>
      </c>
      <c r="C17" s="5">
        <f t="shared" si="1"/>
        <v>44.538461538461533</v>
      </c>
      <c r="D17" s="5">
        <f t="shared" si="2"/>
        <v>2.226923076923077</v>
      </c>
      <c r="E17" s="5">
        <f t="shared" si="0"/>
        <v>0.66807692307692301</v>
      </c>
    </row>
    <row r="18" spans="1:5" x14ac:dyDescent="0.6">
      <c r="A18" s="122"/>
      <c r="B18" s="5">
        <v>2</v>
      </c>
      <c r="C18" s="5">
        <f t="shared" ref="C18:C32" si="3">C17-D17</f>
        <v>42.311538461538454</v>
      </c>
      <c r="D18" s="5">
        <f t="shared" si="2"/>
        <v>2.226923076923077</v>
      </c>
      <c r="E18" s="5">
        <f t="shared" si="0"/>
        <v>0.63467307692307684</v>
      </c>
    </row>
    <row r="19" spans="1:5" x14ac:dyDescent="0.6">
      <c r="A19" s="122"/>
      <c r="B19" s="5">
        <v>3</v>
      </c>
      <c r="C19" s="5">
        <f t="shared" si="3"/>
        <v>40.084615384615375</v>
      </c>
      <c r="D19" s="5">
        <f t="shared" si="2"/>
        <v>2.226923076923077</v>
      </c>
      <c r="E19" s="5">
        <f t="shared" si="0"/>
        <v>0.60126923076923056</v>
      </c>
    </row>
    <row r="20" spans="1:5" x14ac:dyDescent="0.6">
      <c r="A20" s="122"/>
      <c r="B20" s="5">
        <v>4</v>
      </c>
      <c r="C20" s="5">
        <f t="shared" si="3"/>
        <v>37.857692307692297</v>
      </c>
      <c r="D20" s="5">
        <f t="shared" si="2"/>
        <v>2.226923076923077</v>
      </c>
      <c r="E20" s="5">
        <f t="shared" si="0"/>
        <v>0.56786538461538438</v>
      </c>
    </row>
    <row r="21" spans="1:5" x14ac:dyDescent="0.6">
      <c r="A21" s="122">
        <v>4</v>
      </c>
      <c r="B21" s="5">
        <v>1</v>
      </c>
      <c r="C21" s="5">
        <f t="shared" si="3"/>
        <v>35.630769230769218</v>
      </c>
      <c r="D21" s="5">
        <f t="shared" si="2"/>
        <v>2.226923076923077</v>
      </c>
      <c r="E21" s="5">
        <f t="shared" si="0"/>
        <v>0.53446153846153821</v>
      </c>
    </row>
    <row r="22" spans="1:5" x14ac:dyDescent="0.6">
      <c r="A22" s="122"/>
      <c r="B22" s="5">
        <v>2</v>
      </c>
      <c r="C22" s="5">
        <f t="shared" si="3"/>
        <v>33.403846153846139</v>
      </c>
      <c r="D22" s="5">
        <f t="shared" si="2"/>
        <v>2.226923076923077</v>
      </c>
      <c r="E22" s="5">
        <f t="shared" si="0"/>
        <v>0.50105769230769204</v>
      </c>
    </row>
    <row r="23" spans="1:5" x14ac:dyDescent="0.6">
      <c r="A23" s="122"/>
      <c r="B23" s="5">
        <v>3</v>
      </c>
      <c r="C23" s="5">
        <f t="shared" si="3"/>
        <v>31.17692307692306</v>
      </c>
      <c r="D23" s="5">
        <f t="shared" si="2"/>
        <v>2.226923076923077</v>
      </c>
      <c r="E23" s="5">
        <f t="shared" si="0"/>
        <v>0.46765384615384586</v>
      </c>
    </row>
    <row r="24" spans="1:5" x14ac:dyDescent="0.6">
      <c r="A24" s="122"/>
      <c r="B24" s="5">
        <v>4</v>
      </c>
      <c r="C24" s="5">
        <f t="shared" si="3"/>
        <v>28.949999999999982</v>
      </c>
      <c r="D24" s="5">
        <f t="shared" si="2"/>
        <v>2.226923076923077</v>
      </c>
      <c r="E24" s="5">
        <f t="shared" si="0"/>
        <v>0.43424999999999969</v>
      </c>
    </row>
    <row r="25" spans="1:5" x14ac:dyDescent="0.6">
      <c r="A25" s="122">
        <v>5</v>
      </c>
      <c r="B25" s="5">
        <v>1</v>
      </c>
      <c r="C25" s="5">
        <f t="shared" si="3"/>
        <v>26.723076923076903</v>
      </c>
      <c r="D25" s="5">
        <f t="shared" si="2"/>
        <v>2.226923076923077</v>
      </c>
      <c r="E25" s="5">
        <f t="shared" si="0"/>
        <v>0.40084615384615352</v>
      </c>
    </row>
    <row r="26" spans="1:5" x14ac:dyDescent="0.6">
      <c r="A26" s="122"/>
      <c r="B26" s="5">
        <v>2</v>
      </c>
      <c r="C26" s="5">
        <f t="shared" si="3"/>
        <v>24.496153846153824</v>
      </c>
      <c r="D26" s="5">
        <f t="shared" si="2"/>
        <v>2.226923076923077</v>
      </c>
      <c r="E26" s="5">
        <f t="shared" si="0"/>
        <v>0.36744230769230735</v>
      </c>
    </row>
    <row r="27" spans="1:5" x14ac:dyDescent="0.6">
      <c r="A27" s="122"/>
      <c r="B27" s="5">
        <v>3</v>
      </c>
      <c r="C27" s="5">
        <f t="shared" si="3"/>
        <v>22.269230769230745</v>
      </c>
      <c r="D27" s="5">
        <f t="shared" si="2"/>
        <v>2.226923076923077</v>
      </c>
      <c r="E27" s="5">
        <f t="shared" si="0"/>
        <v>0.33403846153846117</v>
      </c>
    </row>
    <row r="28" spans="1:5" x14ac:dyDescent="0.6">
      <c r="A28" s="122"/>
      <c r="B28" s="5">
        <v>4</v>
      </c>
      <c r="C28" s="5">
        <f t="shared" si="3"/>
        <v>20.042307692307666</v>
      </c>
      <c r="D28" s="5">
        <f t="shared" si="2"/>
        <v>2.226923076923077</v>
      </c>
      <c r="E28" s="5">
        <f t="shared" si="0"/>
        <v>0.300634615384615</v>
      </c>
    </row>
    <row r="29" spans="1:5" x14ac:dyDescent="0.6">
      <c r="A29" s="122">
        <v>6</v>
      </c>
      <c r="B29" s="5">
        <v>1</v>
      </c>
      <c r="C29" s="5">
        <f t="shared" si="3"/>
        <v>17.815384615384588</v>
      </c>
      <c r="D29" s="5">
        <f t="shared" si="2"/>
        <v>2.226923076923077</v>
      </c>
      <c r="E29" s="5">
        <f t="shared" si="0"/>
        <v>0.26723076923076883</v>
      </c>
    </row>
    <row r="30" spans="1:5" x14ac:dyDescent="0.6">
      <c r="A30" s="122"/>
      <c r="B30" s="5">
        <v>2</v>
      </c>
      <c r="C30" s="5">
        <f t="shared" si="3"/>
        <v>15.588461538461511</v>
      </c>
      <c r="D30" s="5">
        <f t="shared" si="2"/>
        <v>2.226923076923077</v>
      </c>
      <c r="E30" s="5">
        <f t="shared" si="0"/>
        <v>0.23382692307692265</v>
      </c>
    </row>
    <row r="31" spans="1:5" x14ac:dyDescent="0.6">
      <c r="A31" s="122"/>
      <c r="B31" s="5">
        <v>3</v>
      </c>
      <c r="C31" s="5">
        <f t="shared" si="3"/>
        <v>13.361538461538434</v>
      </c>
      <c r="D31" s="5">
        <f t="shared" si="2"/>
        <v>2.226923076923077</v>
      </c>
      <c r="E31" s="5">
        <f t="shared" si="0"/>
        <v>0.20042307692307651</v>
      </c>
    </row>
    <row r="32" spans="1:5" x14ac:dyDescent="0.6">
      <c r="A32" s="122"/>
      <c r="B32" s="5">
        <v>4</v>
      </c>
      <c r="C32" s="5">
        <f t="shared" si="3"/>
        <v>11.134615384615357</v>
      </c>
      <c r="D32" s="5">
        <f t="shared" si="2"/>
        <v>2.226923076923077</v>
      </c>
      <c r="E32" s="5">
        <f t="shared" si="0"/>
        <v>0.16701923076923034</v>
      </c>
    </row>
    <row r="33" spans="1:6" x14ac:dyDescent="0.6">
      <c r="A33" s="122">
        <v>7</v>
      </c>
      <c r="B33" s="5">
        <v>1</v>
      </c>
      <c r="C33" s="5">
        <f t="shared" ref="C33:C36" si="4">C32-D32</f>
        <v>8.9076923076922796</v>
      </c>
      <c r="D33" s="5">
        <f t="shared" si="2"/>
        <v>2.226923076923077</v>
      </c>
      <c r="E33" s="5">
        <f t="shared" ref="E33:E36" si="5">C33*$D$5/4</f>
        <v>0.13361538461538419</v>
      </c>
      <c r="F33" s="27"/>
    </row>
    <row r="34" spans="1:6" x14ac:dyDescent="0.6">
      <c r="A34" s="122"/>
      <c r="B34" s="5">
        <v>2</v>
      </c>
      <c r="C34" s="5">
        <f t="shared" si="4"/>
        <v>6.6807692307692026</v>
      </c>
      <c r="D34" s="5">
        <f t="shared" si="2"/>
        <v>2.226923076923077</v>
      </c>
      <c r="E34" s="5">
        <f t="shared" si="5"/>
        <v>0.10021153846153803</v>
      </c>
    </row>
    <row r="35" spans="1:6" x14ac:dyDescent="0.6">
      <c r="A35" s="122"/>
      <c r="B35" s="5">
        <v>3</v>
      </c>
      <c r="C35" s="5">
        <f t="shared" si="4"/>
        <v>4.4538461538461256</v>
      </c>
      <c r="D35" s="5">
        <f t="shared" si="2"/>
        <v>2.226923076923077</v>
      </c>
      <c r="E35" s="5">
        <f t="shared" si="5"/>
        <v>6.6807692307691888E-2</v>
      </c>
    </row>
    <row r="36" spans="1:6" x14ac:dyDescent="0.6">
      <c r="A36" s="122"/>
      <c r="B36" s="5">
        <v>4</v>
      </c>
      <c r="C36" s="5">
        <f t="shared" si="4"/>
        <v>2.2269230769230486</v>
      </c>
      <c r="D36" s="117">
        <f>D4-SUM(D9:D35)</f>
        <v>2.2269230769230504</v>
      </c>
      <c r="E36" s="5">
        <f t="shared" si="5"/>
        <v>3.3403846153845729E-2</v>
      </c>
    </row>
  </sheetData>
  <mergeCells count="7">
    <mergeCell ref="A33:A36"/>
    <mergeCell ref="A9:A12"/>
    <mergeCell ref="A13:A16"/>
    <mergeCell ref="A17:A20"/>
    <mergeCell ref="A21:A24"/>
    <mergeCell ref="A25:A28"/>
    <mergeCell ref="A29:A32"/>
  </mergeCells>
  <pageMargins left="0.7" right="0.7" top="0.75" bottom="0.75" header="0.3" footer="0.3"/>
  <pageSetup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1C3B-78D2-43F9-ABE8-F6A84BAA4AE1}">
  <sheetPr>
    <pageSetUpPr fitToPage="1"/>
  </sheetPr>
  <dimension ref="A1:L30"/>
  <sheetViews>
    <sheetView workbookViewId="0"/>
  </sheetViews>
  <sheetFormatPr defaultRowHeight="17" x14ac:dyDescent="0.6"/>
  <cols>
    <col min="1" max="1" width="41.1796875" style="68" bestFit="1" customWidth="1"/>
    <col min="2" max="2" width="14.7265625" style="68" customWidth="1"/>
    <col min="3" max="11" width="14.7265625" style="68" bestFit="1" customWidth="1"/>
    <col min="12" max="12" width="13.6328125" style="68" bestFit="1" customWidth="1"/>
    <col min="13" max="16384" width="8.7265625" style="68"/>
  </cols>
  <sheetData>
    <row r="1" spans="1:11" x14ac:dyDescent="0.6">
      <c r="A1" s="77" t="s">
        <v>263</v>
      </c>
      <c r="B1" s="77"/>
    </row>
    <row r="2" spans="1:11" x14ac:dyDescent="0.6">
      <c r="A2" s="77"/>
      <c r="B2" s="77"/>
    </row>
    <row r="3" spans="1:11" x14ac:dyDescent="0.6">
      <c r="A3" s="85" t="s">
        <v>3</v>
      </c>
      <c r="B3" s="85">
        <v>0</v>
      </c>
      <c r="C3" s="85" t="s">
        <v>39</v>
      </c>
      <c r="D3" s="85" t="s">
        <v>40</v>
      </c>
      <c r="E3" s="85" t="s">
        <v>41</v>
      </c>
      <c r="F3" s="85" t="s">
        <v>42</v>
      </c>
      <c r="G3" s="85" t="s">
        <v>43</v>
      </c>
      <c r="H3" s="85" t="s">
        <v>44</v>
      </c>
      <c r="I3" s="85" t="s">
        <v>45</v>
      </c>
      <c r="J3" s="85" t="s">
        <v>46</v>
      </c>
      <c r="K3" s="85" t="s">
        <v>47</v>
      </c>
    </row>
    <row r="4" spans="1:11" x14ac:dyDescent="0.6">
      <c r="A4" s="78" t="s">
        <v>168</v>
      </c>
      <c r="B4" s="79">
        <f>'Ann 2'!C7*100000</f>
        <v>1500000</v>
      </c>
      <c r="C4" s="79">
        <f>B19</f>
        <v>1500000.0000000009</v>
      </c>
      <c r="D4" s="79">
        <f>C19</f>
        <v>11483257.438461533</v>
      </c>
      <c r="E4" s="79">
        <f t="shared" ref="E4:K4" si="0">D19</f>
        <v>10744898.681538466</v>
      </c>
      <c r="F4" s="79">
        <f t="shared" si="0"/>
        <v>9789832.0921538472</v>
      </c>
      <c r="G4" s="79">
        <f t="shared" si="0"/>
        <v>8653556.1300077047</v>
      </c>
      <c r="H4" s="79">
        <f t="shared" si="0"/>
        <v>11507023.059249006</v>
      </c>
      <c r="I4" s="79">
        <f t="shared" si="0"/>
        <v>14780899.853436081</v>
      </c>
      <c r="J4" s="79">
        <f t="shared" si="0"/>
        <v>18224227.100831546</v>
      </c>
      <c r="K4" s="79">
        <f t="shared" si="0"/>
        <v>20268499.085700057</v>
      </c>
    </row>
    <row r="5" spans="1:11" x14ac:dyDescent="0.6">
      <c r="A5" s="78" t="s">
        <v>226</v>
      </c>
      <c r="B5" s="79">
        <f>'Ann 5'!C18</f>
        <v>810000</v>
      </c>
      <c r="C5" s="79">
        <v>0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</row>
    <row r="6" spans="1:11" x14ac:dyDescent="0.6">
      <c r="A6" s="78" t="s">
        <v>227</v>
      </c>
      <c r="B6" s="79">
        <f>'Ann 2'!C6*100000</f>
        <v>5790000.0000000009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</row>
    <row r="7" spans="1:11" x14ac:dyDescent="0.6">
      <c r="A7" s="78" t="s">
        <v>228</v>
      </c>
      <c r="B7" s="79">
        <f>'Ann 9'!F6*100000</f>
        <v>6600000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</row>
    <row r="8" spans="1:11" x14ac:dyDescent="0.6">
      <c r="A8" s="78" t="s">
        <v>169</v>
      </c>
      <c r="B8" s="79">
        <v>0</v>
      </c>
      <c r="C8" s="79">
        <f>'Ann 4'!C22-'Ann 5'!C13</f>
        <v>169646399.99999997</v>
      </c>
      <c r="D8" s="79">
        <f>'Ann 4'!D22-'Ann 5'!D13</f>
        <v>181288800</v>
      </c>
      <c r="E8" s="79">
        <f>'Ann 4'!E22-'Ann 5'!E13</f>
        <v>193080888</v>
      </c>
      <c r="F8" s="79">
        <f>'Ann 4'!F22-'Ann 5'!F13</f>
        <v>205031645.28</v>
      </c>
      <c r="G8" s="79">
        <f>'Ann 4'!G22-'Ann 5'!G13</f>
        <v>220476991.99680001</v>
      </c>
      <c r="H8" s="79">
        <f>'Ann 4'!H22-'Ann 5'!H13</f>
        <v>232959019.51660803</v>
      </c>
      <c r="I8" s="79">
        <f>'Ann 4'!I22-'Ann 5'!I13</f>
        <v>245630024.68760449</v>
      </c>
      <c r="J8" s="79">
        <f>'Ann 4'!J22-'Ann 5'!J13</f>
        <v>247782946.16886076</v>
      </c>
      <c r="K8" s="79">
        <f>'Ann 4'!K22-'Ann 5'!K13</f>
        <v>251072202.93899244</v>
      </c>
    </row>
    <row r="9" spans="1:11" x14ac:dyDescent="0.6">
      <c r="A9" s="78" t="s">
        <v>201</v>
      </c>
      <c r="B9" s="79">
        <v>0</v>
      </c>
      <c r="C9" s="79">
        <v>0</v>
      </c>
      <c r="D9" s="79">
        <f>'Ann 5'!C24</f>
        <v>26275200</v>
      </c>
      <c r="E9" s="79">
        <f>'Ann 5'!D24</f>
        <v>28152000</v>
      </c>
      <c r="F9" s="79">
        <f>'Ann 5'!E24</f>
        <v>30028800</v>
      </c>
      <c r="G9" s="79">
        <f>'Ann 5'!F24</f>
        <v>31905600</v>
      </c>
      <c r="H9" s="79">
        <f>'Ann 5'!G24</f>
        <v>33782400</v>
      </c>
      <c r="I9" s="79">
        <f>'Ann 5'!H24</f>
        <v>35659200</v>
      </c>
      <c r="J9" s="79">
        <f>'Ann 5'!I24</f>
        <v>37536000</v>
      </c>
      <c r="K9" s="79">
        <f>'Ann 5'!J24</f>
        <v>37536000</v>
      </c>
    </row>
    <row r="10" spans="1:11" x14ac:dyDescent="0.6">
      <c r="A10" s="78" t="s">
        <v>202</v>
      </c>
      <c r="B10" s="79">
        <v>0</v>
      </c>
      <c r="C10" s="79">
        <v>0</v>
      </c>
      <c r="D10" s="79">
        <f>'Ann 5'!C13</f>
        <v>15422399.999999998</v>
      </c>
      <c r="E10" s="79">
        <f>'Ann 5'!D13</f>
        <v>16480800</v>
      </c>
      <c r="F10" s="79">
        <f>'Ann 5'!E13</f>
        <v>17552808</v>
      </c>
      <c r="G10" s="79">
        <f>'Ann 5'!F13</f>
        <v>18639240.479999997</v>
      </c>
      <c r="H10" s="79">
        <f>'Ann 5'!G13</f>
        <v>20043362.908800002</v>
      </c>
      <c r="I10" s="79">
        <f>'Ann 5'!H13</f>
        <v>21178092.683328003</v>
      </c>
      <c r="J10" s="79">
        <f>'Ann 5'!I13</f>
        <v>22330002.244327683</v>
      </c>
      <c r="K10" s="79">
        <f>'Ann 5'!J13</f>
        <v>22525722.378987342</v>
      </c>
    </row>
    <row r="11" spans="1:11" x14ac:dyDescent="0.6">
      <c r="A11" s="78" t="s">
        <v>203</v>
      </c>
      <c r="B11" s="79">
        <v>0</v>
      </c>
      <c r="C11" s="79">
        <f>'Ann 4'!C10+'Ann 4'!C19-'Ann 5'!C24</f>
        <v>155918120</v>
      </c>
      <c r="D11" s="79">
        <f>'Ann 4'!D10+'Ann 4'!D19-'Ann 5'!D24</f>
        <v>166937762</v>
      </c>
      <c r="E11" s="79">
        <f>'Ann 4'!E10+'Ann 4'!E19-'Ann 5'!E24</f>
        <v>177967555.09999999</v>
      </c>
      <c r="F11" s="79">
        <f>'Ann 4'!F10+'Ann 4'!F19-'Ann 5'!F24</f>
        <v>189008006.85499999</v>
      </c>
      <c r="G11" s="79">
        <f>'Ann 4'!G10+'Ann 4'!G19-'Ann 5'!G24</f>
        <v>200273490.19775</v>
      </c>
      <c r="H11" s="79">
        <f>'Ann 4'!H10+'Ann 4'!H19-'Ann 5'!H24</f>
        <v>211348764.70763749</v>
      </c>
      <c r="I11" s="79">
        <f>'Ann 4'!I10+'Ann 4'!I19-'Ann 5'!I24</f>
        <v>222436377.94301936</v>
      </c>
      <c r="J11" s="79">
        <f>'Ann 4'!J10+'Ann 4'!J19-'Ann 5'!J24</f>
        <v>222498738.23251408</v>
      </c>
      <c r="K11" s="79">
        <f>'Ann 4'!K10+'Ann 4'!K19-'Ann 5'!K24</f>
        <v>222628071.53648353</v>
      </c>
    </row>
    <row r="12" spans="1:11" x14ac:dyDescent="0.6">
      <c r="A12" s="78" t="s">
        <v>170</v>
      </c>
      <c r="B12" s="79">
        <v>0</v>
      </c>
      <c r="C12" s="79">
        <f>'Ann 4'!C28</f>
        <v>494059.61538461538</v>
      </c>
      <c r="D12" s="79">
        <f>'Ann 4'!D28</f>
        <v>450634.61538461532</v>
      </c>
      <c r="E12" s="79">
        <f>'Ann 4'!E28</f>
        <v>397188.46153846144</v>
      </c>
      <c r="F12" s="79">
        <f>'Ann 4'!F28</f>
        <v>343742.30769230757</v>
      </c>
      <c r="G12" s="79">
        <f>'Ann 4'!G28</f>
        <v>290296.1538461537</v>
      </c>
      <c r="H12" s="79">
        <f>'Ann 4'!H28</f>
        <v>236849.99999999983</v>
      </c>
      <c r="I12" s="79">
        <f>'Ann 4'!I28</f>
        <v>183403.84615384598</v>
      </c>
      <c r="J12" s="79">
        <f>'Ann 4'!J28</f>
        <v>150000</v>
      </c>
      <c r="K12" s="79">
        <f>'Ann 4'!K28</f>
        <v>150000</v>
      </c>
    </row>
    <row r="13" spans="1:11" x14ac:dyDescent="0.6">
      <c r="A13" s="78"/>
      <c r="B13" s="79">
        <v>0</v>
      </c>
      <c r="C13" s="79">
        <f>B4+C8-C9+C10-C11-C12+B5+B6-B7</f>
        <v>14734220.384615354</v>
      </c>
      <c r="D13" s="79">
        <f t="shared" ref="D13:K13" si="1">D4+D8-D9+D10-D11-D12+D5+D6-D7</f>
        <v>14530860.823076926</v>
      </c>
      <c r="E13" s="79">
        <f t="shared" si="1"/>
        <v>13789843.120000007</v>
      </c>
      <c r="F13" s="79">
        <f t="shared" si="1"/>
        <v>12993736.209461551</v>
      </c>
      <c r="G13" s="79">
        <f t="shared" si="1"/>
        <v>15300402.255211553</v>
      </c>
      <c r="H13" s="79">
        <f t="shared" si="1"/>
        <v>19141390.77701956</v>
      </c>
      <c r="I13" s="79">
        <f t="shared" si="1"/>
        <v>23310035.435195368</v>
      </c>
      <c r="J13" s="79">
        <f t="shared" si="1"/>
        <v>28152437.281505913</v>
      </c>
      <c r="K13" s="79">
        <f t="shared" si="1"/>
        <v>33552352.867196292</v>
      </c>
    </row>
    <row r="14" spans="1:11" x14ac:dyDescent="0.6">
      <c r="A14" s="78" t="s">
        <v>205</v>
      </c>
      <c r="B14" s="79">
        <v>0</v>
      </c>
      <c r="C14" s="79">
        <f>'Ann 4'!C34</f>
        <v>978690.11538460641</v>
      </c>
      <c r="D14" s="79">
        <f>'Ann 4'!D34</f>
        <v>1009951.0153846153</v>
      </c>
      <c r="E14" s="79">
        <f>'Ann 4'!E34</f>
        <v>1084619.2315384634</v>
      </c>
      <c r="F14" s="79">
        <f>'Ann 4'!F34</f>
        <v>1203282.8541923079</v>
      </c>
      <c r="G14" s="79">
        <f>'Ann 4'!G34</f>
        <v>1012538.3599511567</v>
      </c>
      <c r="H14" s="79">
        <f>'Ann 4'!H34</f>
        <v>1210368.0323770631</v>
      </c>
      <c r="I14" s="79">
        <f>'Ann 4'!I34</f>
        <v>1463385.7338120674</v>
      </c>
      <c r="J14" s="79">
        <f>'Ann 4'!J34</f>
        <v>2750210.9985369253</v>
      </c>
      <c r="K14" s="79">
        <f>'Ann 4'!K34</f>
        <v>3992890.3430568636</v>
      </c>
    </row>
    <row r="15" spans="1:11" x14ac:dyDescent="0.6">
      <c r="A15" s="78"/>
      <c r="B15" s="79">
        <v>0</v>
      </c>
      <c r="C15" s="79">
        <f>C13-C14</f>
        <v>13755530.269230748</v>
      </c>
      <c r="D15" s="79">
        <f t="shared" ref="D15:K15" si="2">D13-D14</f>
        <v>13520909.807692312</v>
      </c>
      <c r="E15" s="79">
        <f t="shared" si="2"/>
        <v>12705223.888461543</v>
      </c>
      <c r="F15" s="79">
        <f t="shared" si="2"/>
        <v>11790453.355269244</v>
      </c>
      <c r="G15" s="79">
        <f t="shared" si="2"/>
        <v>14287863.895260395</v>
      </c>
      <c r="H15" s="79">
        <f t="shared" si="2"/>
        <v>17931022.744642496</v>
      </c>
      <c r="I15" s="79">
        <f t="shared" si="2"/>
        <v>21846649.7013833</v>
      </c>
      <c r="J15" s="79">
        <f t="shared" si="2"/>
        <v>25402226.282968987</v>
      </c>
      <c r="K15" s="79">
        <f t="shared" si="2"/>
        <v>29559462.524139427</v>
      </c>
    </row>
    <row r="16" spans="1:11" x14ac:dyDescent="0.6">
      <c r="A16" s="78" t="s">
        <v>204</v>
      </c>
      <c r="B16" s="79">
        <v>0</v>
      </c>
      <c r="C16" s="79">
        <f>'Ann 4'!C36</f>
        <v>1826888.2153845988</v>
      </c>
      <c r="D16" s="79">
        <f>'Ann 4'!D36</f>
        <v>1885241.8953846153</v>
      </c>
      <c r="E16" s="79">
        <f>'Ann 4'!E36</f>
        <v>2024622.5655384653</v>
      </c>
      <c r="F16" s="79">
        <f>'Ann 4'!F36</f>
        <v>2246127.9944923082</v>
      </c>
      <c r="G16" s="79">
        <f>'Ann 4'!G36</f>
        <v>1890071.6052421592</v>
      </c>
      <c r="H16" s="79">
        <f>'Ann 4'!H36</f>
        <v>2259353.6604371849</v>
      </c>
      <c r="I16" s="79">
        <f>'Ann 4'!I36</f>
        <v>2731653.369782526</v>
      </c>
      <c r="J16" s="79">
        <f>'Ann 4'!J36</f>
        <v>5133727.1972689275</v>
      </c>
      <c r="K16" s="79">
        <f>'Ann 4'!K36</f>
        <v>7453395.3070394807</v>
      </c>
    </row>
    <row r="17" spans="1:12" x14ac:dyDescent="0.6">
      <c r="A17" s="78"/>
      <c r="B17" s="79">
        <v>0</v>
      </c>
      <c r="C17" s="79">
        <f>C15-C16</f>
        <v>11928642.053846149</v>
      </c>
      <c r="D17" s="79">
        <f t="shared" ref="D17:K17" si="3">D15-D16</f>
        <v>11635667.912307696</v>
      </c>
      <c r="E17" s="79">
        <f t="shared" si="3"/>
        <v>10680601.322923077</v>
      </c>
      <c r="F17" s="79">
        <f t="shared" si="3"/>
        <v>9544325.3607769348</v>
      </c>
      <c r="G17" s="79">
        <f t="shared" si="3"/>
        <v>12397792.290018236</v>
      </c>
      <c r="H17" s="79">
        <f t="shared" si="3"/>
        <v>15671669.084205311</v>
      </c>
      <c r="I17" s="79">
        <f t="shared" si="3"/>
        <v>19114996.331600774</v>
      </c>
      <c r="J17" s="79">
        <f t="shared" si="3"/>
        <v>20268499.085700057</v>
      </c>
      <c r="K17" s="79">
        <f t="shared" si="3"/>
        <v>22106067.217099946</v>
      </c>
    </row>
    <row r="18" spans="1:12" x14ac:dyDescent="0.6">
      <c r="A18" s="78" t="s">
        <v>206</v>
      </c>
      <c r="B18" s="79">
        <v>0</v>
      </c>
      <c r="C18" s="79">
        <f>SUM('Ann 13'!D9:D12)*100000</f>
        <v>445384.61538461538</v>
      </c>
      <c r="D18" s="79">
        <f>SUM('Ann 13'!D13:D16)*100000</f>
        <v>890769.23076923075</v>
      </c>
      <c r="E18" s="79">
        <f>SUM('Ann 13'!D17:D20)*100000</f>
        <v>890769.23076923075</v>
      </c>
      <c r="F18" s="79">
        <f>SUM('Ann 13'!D21:D24)*100000</f>
        <v>890769.23076923075</v>
      </c>
      <c r="G18" s="79">
        <f>SUM('Ann 13'!D25:D28)*100000</f>
        <v>890769.23076923075</v>
      </c>
      <c r="H18" s="79">
        <f>SUM('Ann 13'!D29:D32)*100000</f>
        <v>890769.23076923075</v>
      </c>
      <c r="I18" s="79">
        <f>SUM('Ann 13'!D33:D36)*100000</f>
        <v>890769.23076922819</v>
      </c>
      <c r="J18" s="79">
        <v>0</v>
      </c>
      <c r="K18" s="79">
        <v>0</v>
      </c>
    </row>
    <row r="19" spans="1:12" x14ac:dyDescent="0.6">
      <c r="A19" s="78" t="s">
        <v>207</v>
      </c>
      <c r="B19" s="79">
        <f>B4+B5+B6-B7</f>
        <v>1500000.0000000009</v>
      </c>
      <c r="C19" s="79">
        <f>C17-C18</f>
        <v>11483257.438461533</v>
      </c>
      <c r="D19" s="79">
        <f>D17-D18</f>
        <v>10744898.681538466</v>
      </c>
      <c r="E19" s="79">
        <f>E17-E18</f>
        <v>9789832.0921538472</v>
      </c>
      <c r="F19" s="79">
        <f t="shared" ref="F19:K19" si="4">F17-F18</f>
        <v>8653556.1300077047</v>
      </c>
      <c r="G19" s="79">
        <f t="shared" si="4"/>
        <v>11507023.059249006</v>
      </c>
      <c r="H19" s="79">
        <f t="shared" si="4"/>
        <v>14780899.853436081</v>
      </c>
      <c r="I19" s="79">
        <f t="shared" si="4"/>
        <v>18224227.100831546</v>
      </c>
      <c r="J19" s="79">
        <f t="shared" si="4"/>
        <v>20268499.085700057</v>
      </c>
      <c r="K19" s="79">
        <f t="shared" si="4"/>
        <v>22106067.217099946</v>
      </c>
    </row>
    <row r="21" spans="1:12" x14ac:dyDescent="0.6">
      <c r="A21" s="80" t="s">
        <v>210</v>
      </c>
      <c r="B21" s="81">
        <v>0.06</v>
      </c>
      <c r="C21" s="82"/>
      <c r="D21" s="80"/>
      <c r="E21" s="80"/>
      <c r="F21" s="80"/>
      <c r="G21" s="80"/>
      <c r="H21" s="80"/>
      <c r="I21" s="80"/>
      <c r="J21" s="80"/>
      <c r="K21" s="80"/>
      <c r="L21" s="80"/>
    </row>
    <row r="22" spans="1:12" x14ac:dyDescent="0.6">
      <c r="A22" s="80" t="s">
        <v>211</v>
      </c>
      <c r="B22" s="80">
        <v>1</v>
      </c>
      <c r="C22" s="83">
        <f>1/(1+$B$21)</f>
        <v>0.94339622641509424</v>
      </c>
      <c r="D22" s="83">
        <f>1/((1+$B$21)*(1+$B$21))</f>
        <v>0.88999644001423983</v>
      </c>
      <c r="E22" s="83">
        <f>1/((1+$B$21)*(1+$B$21)*(1+$B$21))</f>
        <v>0.8396192830323016</v>
      </c>
      <c r="F22" s="83">
        <f>1/((1+$B$21)*(1+$B$21)*(1+$B$21)*(1+$B$21))</f>
        <v>0.79209366323802044</v>
      </c>
      <c r="G22" s="83">
        <f>1/((1+$B$21)*(1+$B$21)*(1+$B$21)*(1+$B$21)*(1+$B$21))</f>
        <v>0.74725817286605689</v>
      </c>
      <c r="H22" s="83">
        <f>1/((1+$B$21)*(1+$B$21)*(1+$B$21)*(1+$B$21)*(1+$B$21)*(1+$B$21))</f>
        <v>0.70496054043967626</v>
      </c>
      <c r="I22" s="83">
        <f>1/((1+$B$21)*(1+$B$21)*(1+$B$21)*(1+$B$21)*(1+$B$21)*(1+$B$21)*(1+$B$21))</f>
        <v>0.6650571136223361</v>
      </c>
      <c r="J22" s="83">
        <f>1/((1+$B$21)*(1+$B$21)*(1+$B$21)*(1+$B$21)*(1+$B$21)*(1+$B$21)*(1+$B$21)*(1+$B$21))</f>
        <v>0.62741237134182648</v>
      </c>
      <c r="K22" s="83">
        <f>1/((1+$B$21)*(1+$B$21)*(1+$B$21)*(1+$B$21)*(1+$B$21)*(1+$B$21)*(1+$B$21)*(1+$B$21)*(1+$B$21))</f>
        <v>0.59189846353002495</v>
      </c>
      <c r="L22" s="80"/>
    </row>
    <row r="23" spans="1:12" x14ac:dyDescent="0.6">
      <c r="A23" s="80" t="s">
        <v>212</v>
      </c>
      <c r="B23" s="80">
        <f>B4+B8+B10+B5+B6</f>
        <v>8100000.0000000009</v>
      </c>
      <c r="C23" s="80">
        <f>C4+C8+C10+C5+C6</f>
        <v>171146399.99999997</v>
      </c>
      <c r="D23" s="80">
        <f t="shared" ref="D23:K23" si="5">D4+D8+D10</f>
        <v>208194457.43846154</v>
      </c>
      <c r="E23" s="80">
        <f t="shared" si="5"/>
        <v>220306586.68153846</v>
      </c>
      <c r="F23" s="80">
        <f t="shared" si="5"/>
        <v>232374285.37215385</v>
      </c>
      <c r="G23" s="80">
        <f t="shared" si="5"/>
        <v>247769788.60680771</v>
      </c>
      <c r="H23" s="80">
        <f t="shared" si="5"/>
        <v>264509405.48465705</v>
      </c>
      <c r="I23" s="80">
        <f t="shared" si="5"/>
        <v>281589017.22436857</v>
      </c>
      <c r="J23" s="80">
        <f t="shared" si="5"/>
        <v>288337175.51401997</v>
      </c>
      <c r="K23" s="80">
        <f t="shared" si="5"/>
        <v>293866424.40367985</v>
      </c>
      <c r="L23" s="80"/>
    </row>
    <row r="24" spans="1:12" x14ac:dyDescent="0.6">
      <c r="A24" s="80" t="s">
        <v>213</v>
      </c>
      <c r="B24" s="80">
        <f>B23*B22</f>
        <v>8100000.0000000009</v>
      </c>
      <c r="C24" s="80">
        <f>C23*C22</f>
        <v>161458867.92452827</v>
      </c>
      <c r="D24" s="80">
        <f t="shared" ref="D24:K24" si="6">D23*D22</f>
        <v>185292325.95092696</v>
      </c>
      <c r="E24" s="80">
        <f t="shared" si="6"/>
        <v>184973658.35684693</v>
      </c>
      <c r="F24" s="80">
        <f t="shared" si="6"/>
        <v>184062198.94274649</v>
      </c>
      <c r="G24" s="80">
        <f t="shared" si="6"/>
        <v>185147999.52573228</v>
      </c>
      <c r="H24" s="80">
        <f t="shared" si="6"/>
        <v>186468693.4418413</v>
      </c>
      <c r="I24" s="80">
        <f t="shared" si="6"/>
        <v>187272779.02298886</v>
      </c>
      <c r="J24" s="80">
        <f t="shared" si="6"/>
        <v>180906311.0352557</v>
      </c>
      <c r="K24" s="80">
        <f t="shared" si="6"/>
        <v>173939085.08760032</v>
      </c>
      <c r="L24" s="80"/>
    </row>
    <row r="25" spans="1:12" x14ac:dyDescent="0.6">
      <c r="A25" s="80" t="s">
        <v>214</v>
      </c>
      <c r="B25" s="80">
        <f>B9+B11+B12+B14+B16+B18+B7</f>
        <v>6600000</v>
      </c>
      <c r="C25" s="80">
        <f>C9+C11+C12+C14+C16+C18+C7</f>
        <v>159663142.56153843</v>
      </c>
      <c r="D25" s="80">
        <f t="shared" ref="D25:K25" si="7">D9+D11+D12+D14+D16+D18+D7</f>
        <v>197449558.75692305</v>
      </c>
      <c r="E25" s="80">
        <f t="shared" si="7"/>
        <v>210516754.58938462</v>
      </c>
      <c r="F25" s="80">
        <f t="shared" si="7"/>
        <v>223720729.24214616</v>
      </c>
      <c r="G25" s="80">
        <f t="shared" si="7"/>
        <v>236262765.5475587</v>
      </c>
      <c r="H25" s="80">
        <f t="shared" si="7"/>
        <v>249728505.63122097</v>
      </c>
      <c r="I25" s="80">
        <f t="shared" si="7"/>
        <v>263364790.12353703</v>
      </c>
      <c r="J25" s="80">
        <f t="shared" si="7"/>
        <v>268068676.42831993</v>
      </c>
      <c r="K25" s="80">
        <f t="shared" si="7"/>
        <v>271760357.18657988</v>
      </c>
      <c r="L25" s="80"/>
    </row>
    <row r="26" spans="1:12" x14ac:dyDescent="0.6">
      <c r="A26" s="80" t="s">
        <v>215</v>
      </c>
      <c r="B26" s="80">
        <f>B25*B22</f>
        <v>6600000</v>
      </c>
      <c r="C26" s="80">
        <f>C25*C22</f>
        <v>150625606.19013059</v>
      </c>
      <c r="D26" s="80">
        <f t="shared" ref="D26:K26" si="8">D25*D22</f>
        <v>175729404.37604398</v>
      </c>
      <c r="E26" s="80">
        <f t="shared" si="8"/>
        <v>176753926.55462611</v>
      </c>
      <c r="F26" s="80">
        <f t="shared" si="8"/>
        <v>177207771.96769288</v>
      </c>
      <c r="G26" s="80">
        <f t="shared" si="8"/>
        <v>176549282.49935028</v>
      </c>
      <c r="H26" s="80">
        <f t="shared" si="8"/>
        <v>176048742.29297826</v>
      </c>
      <c r="I26" s="80">
        <f t="shared" si="8"/>
        <v>175152627.14931187</v>
      </c>
      <c r="J26" s="80">
        <f t="shared" si="8"/>
        <v>168189603.96035698</v>
      </c>
      <c r="K26" s="80">
        <f t="shared" si="8"/>
        <v>160854537.86710742</v>
      </c>
      <c r="L26" s="80"/>
    </row>
    <row r="27" spans="1:12" x14ac:dyDescent="0.6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x14ac:dyDescent="0.6">
      <c r="A28" s="80" t="s">
        <v>216</v>
      </c>
      <c r="B28" s="80">
        <f>B23-B25</f>
        <v>1500000.0000000009</v>
      </c>
      <c r="C28" s="80">
        <f>C23-C25</f>
        <v>11483257.438461542</v>
      </c>
      <c r="D28" s="80">
        <f>D23-D25</f>
        <v>10744898.681538492</v>
      </c>
      <c r="E28" s="80">
        <f t="shared" ref="E28:K28" si="9">E23-E25</f>
        <v>9789832.0921538472</v>
      </c>
      <c r="F28" s="80">
        <f t="shared" si="9"/>
        <v>8653556.1300076842</v>
      </c>
      <c r="G28" s="80">
        <f t="shared" si="9"/>
        <v>11507023.059249014</v>
      </c>
      <c r="H28" s="80">
        <f t="shared" si="9"/>
        <v>14780899.853436083</v>
      </c>
      <c r="I28" s="80">
        <f t="shared" si="9"/>
        <v>18224227.100831538</v>
      </c>
      <c r="J28" s="80">
        <f t="shared" si="9"/>
        <v>20268499.085700035</v>
      </c>
      <c r="K28" s="80">
        <f t="shared" si="9"/>
        <v>22106067.217099965</v>
      </c>
      <c r="L28" s="80"/>
    </row>
    <row r="29" spans="1:12" x14ac:dyDescent="0.6">
      <c r="A29" s="80" t="s">
        <v>217</v>
      </c>
      <c r="B29" s="80">
        <f>B24-B26</f>
        <v>1500000.0000000009</v>
      </c>
      <c r="C29" s="80">
        <f>C28*C22</f>
        <v>10833261.73439768</v>
      </c>
      <c r="D29" s="80">
        <f t="shared" ref="D29:K29" si="10">D28*D22</f>
        <v>9562921.5748829581</v>
      </c>
      <c r="E29" s="80">
        <f t="shared" si="10"/>
        <v>8219731.8022208307</v>
      </c>
      <c r="F29" s="80">
        <f t="shared" si="10"/>
        <v>6854426.975053614</v>
      </c>
      <c r="G29" s="80">
        <f t="shared" si="10"/>
        <v>8598717.026382003</v>
      </c>
      <c r="H29" s="80">
        <f t="shared" si="10"/>
        <v>10419951.148863032</v>
      </c>
      <c r="I29" s="80">
        <f t="shared" si="10"/>
        <v>12120151.873676978</v>
      </c>
      <c r="J29" s="80">
        <f t="shared" si="10"/>
        <v>12716707.074898701</v>
      </c>
      <c r="K29" s="80">
        <f t="shared" si="10"/>
        <v>13084547.220492924</v>
      </c>
      <c r="L29" s="80">
        <f>SUM(B29:K29)</f>
        <v>93910416.43086873</v>
      </c>
    </row>
    <row r="30" spans="1:12" x14ac:dyDescent="0.6">
      <c r="A30" s="82"/>
      <c r="B30" s="82"/>
      <c r="C30" s="84"/>
      <c r="D30" s="84"/>
      <c r="E30" s="84"/>
      <c r="F30" s="84"/>
      <c r="G30" s="84"/>
      <c r="H30" s="82"/>
      <c r="I30" s="82"/>
      <c r="J30" s="82"/>
      <c r="K30" s="82"/>
      <c r="L30" s="82"/>
    </row>
  </sheetData>
  <pageMargins left="0.7" right="0.7" top="0.75" bottom="0.75" header="0.3" footer="0.3"/>
  <pageSetup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ADB1-212F-431E-A926-791FC9CE0F57}">
  <sheetPr>
    <pageSetUpPr fitToPage="1"/>
  </sheetPr>
  <dimension ref="A1:K47"/>
  <sheetViews>
    <sheetView workbookViewId="0"/>
  </sheetViews>
  <sheetFormatPr defaultRowHeight="17" x14ac:dyDescent="0.6"/>
  <cols>
    <col min="1" max="1" width="27.1796875" style="4" bestFit="1" customWidth="1"/>
    <col min="2" max="2" width="17.08984375" style="4" bestFit="1" customWidth="1"/>
    <col min="3" max="10" width="14.54296875" style="4" bestFit="1" customWidth="1"/>
    <col min="11" max="11" width="12.54296875" style="4" bestFit="1" customWidth="1"/>
    <col min="12" max="16384" width="8.7265625" style="4"/>
  </cols>
  <sheetData>
    <row r="1" spans="1:10" x14ac:dyDescent="0.6">
      <c r="A1" s="3" t="s">
        <v>175</v>
      </c>
    </row>
    <row r="2" spans="1:10" x14ac:dyDescent="0.6">
      <c r="A2" s="3"/>
    </row>
    <row r="3" spans="1:10" x14ac:dyDescent="0.6">
      <c r="A3" s="119" t="s">
        <v>3</v>
      </c>
      <c r="B3" s="118" t="s">
        <v>48</v>
      </c>
      <c r="C3" s="118"/>
      <c r="D3" s="118"/>
      <c r="E3" s="118"/>
      <c r="F3" s="118"/>
      <c r="G3" s="118"/>
      <c r="H3" s="118"/>
      <c r="I3" s="118"/>
      <c r="J3" s="118"/>
    </row>
    <row r="4" spans="1:10" x14ac:dyDescent="0.6">
      <c r="A4" s="119"/>
      <c r="B4" s="35" t="s">
        <v>39</v>
      </c>
      <c r="C4" s="35" t="s">
        <v>40</v>
      </c>
      <c r="D4" s="35" t="s">
        <v>41</v>
      </c>
      <c r="E4" s="35" t="s">
        <v>42</v>
      </c>
      <c r="F4" s="35" t="s">
        <v>43</v>
      </c>
      <c r="G4" s="35" t="s">
        <v>44</v>
      </c>
      <c r="H4" s="35" t="s">
        <v>45</v>
      </c>
      <c r="I4" s="35" t="s">
        <v>46</v>
      </c>
      <c r="J4" s="35" t="s">
        <v>47</v>
      </c>
    </row>
    <row r="5" spans="1:10" x14ac:dyDescent="0.6">
      <c r="A5" s="5" t="s">
        <v>176</v>
      </c>
      <c r="B5" s="57">
        <v>0.7</v>
      </c>
      <c r="C5" s="57">
        <v>0.75</v>
      </c>
      <c r="D5" s="57">
        <v>0.8</v>
      </c>
      <c r="E5" s="57">
        <v>0.85</v>
      </c>
      <c r="F5" s="57">
        <v>0.9</v>
      </c>
      <c r="G5" s="57">
        <v>0.95</v>
      </c>
      <c r="H5" s="57">
        <v>1</v>
      </c>
      <c r="I5" s="57">
        <v>1</v>
      </c>
      <c r="J5" s="57">
        <v>1</v>
      </c>
    </row>
    <row r="6" spans="1:10" x14ac:dyDescent="0.6">
      <c r="A6" s="5" t="s">
        <v>293</v>
      </c>
      <c r="B6" s="70">
        <f>$B$18*B5</f>
        <v>1680000</v>
      </c>
      <c r="C6" s="70">
        <f t="shared" ref="C6:J6" si="0">$B$18*C5</f>
        <v>1800000</v>
      </c>
      <c r="D6" s="70">
        <f t="shared" si="0"/>
        <v>1920000</v>
      </c>
      <c r="E6" s="70">
        <f t="shared" si="0"/>
        <v>2040000</v>
      </c>
      <c r="F6" s="70">
        <f t="shared" si="0"/>
        <v>2160000</v>
      </c>
      <c r="G6" s="70">
        <f t="shared" si="0"/>
        <v>2280000</v>
      </c>
      <c r="H6" s="70">
        <f t="shared" si="0"/>
        <v>2400000</v>
      </c>
      <c r="I6" s="70">
        <f t="shared" si="0"/>
        <v>2400000</v>
      </c>
      <c r="J6" s="70">
        <f t="shared" si="0"/>
        <v>2400000</v>
      </c>
    </row>
    <row r="7" spans="1:10" x14ac:dyDescent="0.6">
      <c r="A7" s="5" t="s">
        <v>283</v>
      </c>
      <c r="B7" s="70">
        <f>B6*99%</f>
        <v>1663200</v>
      </c>
      <c r="C7" s="70">
        <f t="shared" ref="C7:E7" si="1">C6*99%</f>
        <v>1782000</v>
      </c>
      <c r="D7" s="70">
        <f t="shared" si="1"/>
        <v>1900800</v>
      </c>
      <c r="E7" s="70">
        <f t="shared" si="1"/>
        <v>2019600</v>
      </c>
      <c r="F7" s="70">
        <f>MIN(F6*101%,F30)</f>
        <v>2181600</v>
      </c>
      <c r="G7" s="70">
        <f>MIN(G6*101%,G30)</f>
        <v>2302800</v>
      </c>
      <c r="H7" s="70">
        <f>MIN(H6*101%,H30)</f>
        <v>2424000</v>
      </c>
      <c r="I7" s="70">
        <f>MIN(I6*101%,I30)</f>
        <v>2406000</v>
      </c>
      <c r="J7" s="70">
        <f>MIN(J6*101%,J30)</f>
        <v>2400000</v>
      </c>
    </row>
    <row r="8" spans="1:10" x14ac:dyDescent="0.6">
      <c r="A8" s="5" t="s">
        <v>284</v>
      </c>
      <c r="B8" s="70">
        <f>B6*C23</f>
        <v>45360000</v>
      </c>
      <c r="C8" s="70">
        <f>B8*1.06</f>
        <v>48081600</v>
      </c>
      <c r="D8" s="70">
        <f t="shared" ref="D8:J8" si="2">C8*1.06</f>
        <v>50966496</v>
      </c>
      <c r="E8" s="70">
        <f t="shared" si="2"/>
        <v>54024485.760000005</v>
      </c>
      <c r="F8" s="70">
        <f t="shared" si="2"/>
        <v>57265954.905600011</v>
      </c>
      <c r="G8" s="70">
        <f t="shared" si="2"/>
        <v>60701912.199936017</v>
      </c>
      <c r="H8" s="70">
        <f t="shared" si="2"/>
        <v>64344026.931932181</v>
      </c>
      <c r="I8" s="70">
        <f t="shared" si="2"/>
        <v>68204668.54784812</v>
      </c>
      <c r="J8" s="70">
        <f t="shared" si="2"/>
        <v>72296948.660719007</v>
      </c>
    </row>
    <row r="9" spans="1:10" x14ac:dyDescent="0.6">
      <c r="A9" s="5" t="s">
        <v>294</v>
      </c>
      <c r="B9" s="70">
        <f t="shared" ref="B9:J9" si="3">$B$20*B5</f>
        <v>2015999.9999999998</v>
      </c>
      <c r="C9" s="70">
        <f t="shared" si="3"/>
        <v>2160000</v>
      </c>
      <c r="D9" s="70">
        <f t="shared" si="3"/>
        <v>2304000</v>
      </c>
      <c r="E9" s="70">
        <f t="shared" si="3"/>
        <v>2448000</v>
      </c>
      <c r="F9" s="70">
        <f t="shared" si="3"/>
        <v>2592000</v>
      </c>
      <c r="G9" s="70">
        <f t="shared" si="3"/>
        <v>2736000</v>
      </c>
      <c r="H9" s="70">
        <f t="shared" si="3"/>
        <v>2880000</v>
      </c>
      <c r="I9" s="70">
        <f t="shared" si="3"/>
        <v>2880000</v>
      </c>
      <c r="J9" s="70">
        <f t="shared" si="3"/>
        <v>2880000</v>
      </c>
    </row>
    <row r="10" spans="1:10" x14ac:dyDescent="0.6">
      <c r="A10" s="5" t="s">
        <v>286</v>
      </c>
      <c r="B10" s="70">
        <f>B9*99%</f>
        <v>1995839.9999999998</v>
      </c>
      <c r="C10" s="70">
        <f t="shared" ref="C10:E10" si="4">C9*99%</f>
        <v>2138400</v>
      </c>
      <c r="D10" s="70">
        <f t="shared" si="4"/>
        <v>2280960</v>
      </c>
      <c r="E10" s="70">
        <f t="shared" si="4"/>
        <v>2423520</v>
      </c>
      <c r="F10" s="70">
        <f>MIN(F9*101%,F40)</f>
        <v>2617920</v>
      </c>
      <c r="G10" s="70">
        <f t="shared" ref="G10:J10" si="5">MIN(G9*101%,G40)</f>
        <v>2763360</v>
      </c>
      <c r="H10" s="70">
        <f t="shared" si="5"/>
        <v>2908800</v>
      </c>
      <c r="I10" s="70">
        <f t="shared" si="5"/>
        <v>2887200</v>
      </c>
      <c r="J10" s="70">
        <f t="shared" si="5"/>
        <v>2880000</v>
      </c>
    </row>
    <row r="11" spans="1:10" x14ac:dyDescent="0.6">
      <c r="A11" s="5" t="s">
        <v>285</v>
      </c>
      <c r="B11" s="70">
        <f t="shared" ref="B11:J11" si="6">B10*$E$23</f>
        <v>139708799.99999997</v>
      </c>
      <c r="C11" s="70">
        <f t="shared" si="6"/>
        <v>149688000</v>
      </c>
      <c r="D11" s="70">
        <f t="shared" si="6"/>
        <v>159667200</v>
      </c>
      <c r="E11" s="70">
        <f t="shared" si="6"/>
        <v>169646400</v>
      </c>
      <c r="F11" s="70">
        <f t="shared" si="6"/>
        <v>183254400</v>
      </c>
      <c r="G11" s="70">
        <f t="shared" si="6"/>
        <v>193435200</v>
      </c>
      <c r="H11" s="70">
        <f t="shared" si="6"/>
        <v>203616000</v>
      </c>
      <c r="I11" s="70">
        <f t="shared" si="6"/>
        <v>202104000</v>
      </c>
      <c r="J11" s="70">
        <f t="shared" si="6"/>
        <v>201600000</v>
      </c>
    </row>
    <row r="12" spans="1:10" x14ac:dyDescent="0.6">
      <c r="A12" s="5" t="s">
        <v>296</v>
      </c>
      <c r="B12" s="70">
        <f>B11+B8</f>
        <v>185068799.99999997</v>
      </c>
      <c r="C12" s="70">
        <f t="shared" ref="C12:J12" si="7">C11+C8</f>
        <v>197769600</v>
      </c>
      <c r="D12" s="70">
        <f t="shared" si="7"/>
        <v>210633696</v>
      </c>
      <c r="E12" s="70">
        <f t="shared" si="7"/>
        <v>223670885.75999999</v>
      </c>
      <c r="F12" s="70">
        <f t="shared" si="7"/>
        <v>240520354.90560001</v>
      </c>
      <c r="G12" s="70">
        <f t="shared" si="7"/>
        <v>254137112.19993603</v>
      </c>
      <c r="H12" s="70">
        <f t="shared" si="7"/>
        <v>267960026.93193218</v>
      </c>
      <c r="I12" s="70">
        <f t="shared" si="7"/>
        <v>270308668.54784811</v>
      </c>
      <c r="J12" s="70">
        <f t="shared" si="7"/>
        <v>273896948.66071904</v>
      </c>
    </row>
    <row r="13" spans="1:10" x14ac:dyDescent="0.6">
      <c r="A13" s="25"/>
      <c r="B13" s="109"/>
      <c r="C13" s="109"/>
      <c r="D13" s="109"/>
      <c r="E13" s="109"/>
      <c r="F13" s="109"/>
      <c r="G13" s="109"/>
      <c r="H13" s="109"/>
      <c r="I13" s="109"/>
      <c r="J13" s="109"/>
    </row>
    <row r="14" spans="1:10" x14ac:dyDescent="0.6">
      <c r="A14" s="3" t="s">
        <v>177</v>
      </c>
    </row>
    <row r="16" spans="1:10" ht="34" x14ac:dyDescent="0.6">
      <c r="A16" s="110" t="s">
        <v>291</v>
      </c>
      <c r="B16" s="73">
        <f>2*1000</f>
        <v>2000</v>
      </c>
      <c r="C16" s="73" t="s">
        <v>178</v>
      </c>
    </row>
    <row r="17" spans="1:11" x14ac:dyDescent="0.6">
      <c r="A17" s="4" t="s">
        <v>287</v>
      </c>
      <c r="B17" s="4">
        <f>150*8</f>
        <v>1200</v>
      </c>
      <c r="C17" s="4" t="s">
        <v>179</v>
      </c>
    </row>
    <row r="18" spans="1:11" x14ac:dyDescent="0.6">
      <c r="A18" s="4" t="s">
        <v>288</v>
      </c>
      <c r="B18" s="63">
        <f>B17*B16</f>
        <v>2400000</v>
      </c>
      <c r="C18" s="4" t="s">
        <v>180</v>
      </c>
    </row>
    <row r="19" spans="1:11" x14ac:dyDescent="0.6">
      <c r="A19" s="4" t="s">
        <v>289</v>
      </c>
      <c r="B19" s="63">
        <f>180*8</f>
        <v>1440</v>
      </c>
      <c r="C19" s="4" t="s">
        <v>179</v>
      </c>
    </row>
    <row r="20" spans="1:11" x14ac:dyDescent="0.6">
      <c r="A20" s="4" t="s">
        <v>290</v>
      </c>
      <c r="B20" s="63">
        <f>B16*B19</f>
        <v>2880000</v>
      </c>
      <c r="C20" s="4" t="s">
        <v>180</v>
      </c>
    </row>
    <row r="22" spans="1:11" s="73" customFormat="1" ht="51" x14ac:dyDescent="0.35">
      <c r="A22" s="71" t="s">
        <v>181</v>
      </c>
      <c r="B22" s="72" t="s">
        <v>292</v>
      </c>
      <c r="C22" s="72" t="s">
        <v>279</v>
      </c>
      <c r="D22" s="72" t="s">
        <v>280</v>
      </c>
      <c r="E22" s="72" t="s">
        <v>281</v>
      </c>
      <c r="F22" s="72" t="s">
        <v>282</v>
      </c>
    </row>
    <row r="23" spans="1:11" s="73" customFormat="1" x14ac:dyDescent="0.35">
      <c r="A23" s="71" t="s">
        <v>187</v>
      </c>
      <c r="B23" s="74">
        <f>B20+B18</f>
        <v>5280000</v>
      </c>
      <c r="C23" s="75">
        <v>27</v>
      </c>
      <c r="D23" s="75">
        <v>20</v>
      </c>
      <c r="E23" s="72">
        <v>70</v>
      </c>
      <c r="F23" s="71">
        <v>60</v>
      </c>
    </row>
    <row r="25" spans="1:11" x14ac:dyDescent="0.6">
      <c r="A25" s="45" t="s">
        <v>295</v>
      </c>
    </row>
    <row r="26" spans="1:11" x14ac:dyDescent="0.6">
      <c r="A26" s="118" t="s">
        <v>3</v>
      </c>
      <c r="B26" s="118" t="s">
        <v>48</v>
      </c>
      <c r="C26" s="118"/>
      <c r="D26" s="118"/>
      <c r="E26" s="118"/>
      <c r="F26" s="118"/>
      <c r="G26" s="118"/>
      <c r="H26" s="118"/>
      <c r="I26" s="118"/>
      <c r="J26" s="118"/>
      <c r="K26" s="76"/>
    </row>
    <row r="27" spans="1:11" x14ac:dyDescent="0.6">
      <c r="A27" s="118"/>
      <c r="B27" s="86" t="s">
        <v>39</v>
      </c>
      <c r="C27" s="86" t="s">
        <v>40</v>
      </c>
      <c r="D27" s="86" t="s">
        <v>41</v>
      </c>
      <c r="E27" s="86" t="s">
        <v>42</v>
      </c>
      <c r="F27" s="86" t="s">
        <v>43</v>
      </c>
      <c r="G27" s="86" t="s">
        <v>44</v>
      </c>
      <c r="H27" s="86" t="s">
        <v>45</v>
      </c>
      <c r="I27" s="86" t="s">
        <v>46</v>
      </c>
      <c r="J27" s="86" t="s">
        <v>47</v>
      </c>
    </row>
    <row r="28" spans="1:11" x14ac:dyDescent="0.6">
      <c r="A28" s="5" t="s">
        <v>182</v>
      </c>
      <c r="B28" s="52">
        <v>0</v>
      </c>
      <c r="C28" s="52">
        <f>B32</f>
        <v>16800</v>
      </c>
      <c r="D28" s="52">
        <f t="shared" ref="D28:J28" si="8">C32</f>
        <v>34800</v>
      </c>
      <c r="E28" s="52">
        <f t="shared" si="8"/>
        <v>54000</v>
      </c>
      <c r="F28" s="52">
        <f t="shared" si="8"/>
        <v>74400</v>
      </c>
      <c r="G28" s="52">
        <f t="shared" si="8"/>
        <v>52800</v>
      </c>
      <c r="H28" s="52">
        <f t="shared" si="8"/>
        <v>30000</v>
      </c>
      <c r="I28" s="52">
        <f t="shared" si="8"/>
        <v>6000</v>
      </c>
      <c r="J28" s="52">
        <f t="shared" si="8"/>
        <v>0</v>
      </c>
    </row>
    <row r="29" spans="1:11" x14ac:dyDescent="0.6">
      <c r="A29" s="5" t="s">
        <v>183</v>
      </c>
      <c r="B29" s="52">
        <f t="shared" ref="B29:J29" si="9">B6</f>
        <v>1680000</v>
      </c>
      <c r="C29" s="52">
        <f t="shared" si="9"/>
        <v>1800000</v>
      </c>
      <c r="D29" s="52">
        <f t="shared" si="9"/>
        <v>1920000</v>
      </c>
      <c r="E29" s="52">
        <f t="shared" si="9"/>
        <v>2040000</v>
      </c>
      <c r="F29" s="52">
        <f t="shared" si="9"/>
        <v>2160000</v>
      </c>
      <c r="G29" s="52">
        <f t="shared" si="9"/>
        <v>2280000</v>
      </c>
      <c r="H29" s="52">
        <f t="shared" si="9"/>
        <v>2400000</v>
      </c>
      <c r="I29" s="52">
        <f t="shared" si="9"/>
        <v>2400000</v>
      </c>
      <c r="J29" s="52">
        <f t="shared" si="9"/>
        <v>2400000</v>
      </c>
    </row>
    <row r="30" spans="1:11" x14ac:dyDescent="0.6">
      <c r="A30" s="5" t="s">
        <v>208</v>
      </c>
      <c r="B30" s="52">
        <f>SUM(B28:B29)</f>
        <v>1680000</v>
      </c>
      <c r="C30" s="52">
        <f t="shared" ref="C30:J30" si="10">SUM(C28:C29)</f>
        <v>1816800</v>
      </c>
      <c r="D30" s="52">
        <f t="shared" si="10"/>
        <v>1954800</v>
      </c>
      <c r="E30" s="52">
        <f t="shared" si="10"/>
        <v>2094000</v>
      </c>
      <c r="F30" s="52">
        <f t="shared" si="10"/>
        <v>2234400</v>
      </c>
      <c r="G30" s="52">
        <f t="shared" si="10"/>
        <v>2332800</v>
      </c>
      <c r="H30" s="52">
        <f t="shared" si="10"/>
        <v>2430000</v>
      </c>
      <c r="I30" s="52">
        <f t="shared" si="10"/>
        <v>2406000</v>
      </c>
      <c r="J30" s="52">
        <f t="shared" si="10"/>
        <v>2400000</v>
      </c>
    </row>
    <row r="31" spans="1:11" x14ac:dyDescent="0.6">
      <c r="A31" s="5" t="s">
        <v>184</v>
      </c>
      <c r="B31" s="52">
        <f t="shared" ref="B31:J31" si="11">B7</f>
        <v>1663200</v>
      </c>
      <c r="C31" s="52">
        <f t="shared" si="11"/>
        <v>1782000</v>
      </c>
      <c r="D31" s="52">
        <f t="shared" si="11"/>
        <v>1900800</v>
      </c>
      <c r="E31" s="52">
        <f t="shared" si="11"/>
        <v>2019600</v>
      </c>
      <c r="F31" s="52">
        <f t="shared" si="11"/>
        <v>2181600</v>
      </c>
      <c r="G31" s="52">
        <f t="shared" si="11"/>
        <v>2302800</v>
      </c>
      <c r="H31" s="52">
        <f t="shared" si="11"/>
        <v>2424000</v>
      </c>
      <c r="I31" s="52">
        <f t="shared" si="11"/>
        <v>2406000</v>
      </c>
      <c r="J31" s="52">
        <f t="shared" si="11"/>
        <v>2400000</v>
      </c>
    </row>
    <row r="32" spans="1:11" x14ac:dyDescent="0.6">
      <c r="A32" s="5" t="s">
        <v>185</v>
      </c>
      <c r="B32" s="52">
        <f>B28+B29-B31</f>
        <v>16800</v>
      </c>
      <c r="C32" s="52">
        <f t="shared" ref="C32:J32" si="12">C28+C29-C31</f>
        <v>34800</v>
      </c>
      <c r="D32" s="52">
        <f t="shared" si="12"/>
        <v>54000</v>
      </c>
      <c r="E32" s="52">
        <f t="shared" si="12"/>
        <v>74400</v>
      </c>
      <c r="F32" s="52">
        <f t="shared" si="12"/>
        <v>52800</v>
      </c>
      <c r="G32" s="52">
        <f t="shared" si="12"/>
        <v>30000</v>
      </c>
      <c r="H32" s="52">
        <f t="shared" si="12"/>
        <v>6000</v>
      </c>
      <c r="I32" s="52">
        <f t="shared" si="12"/>
        <v>0</v>
      </c>
      <c r="J32" s="52">
        <f t="shared" si="12"/>
        <v>0</v>
      </c>
    </row>
    <row r="33" spans="1:10" x14ac:dyDescent="0.6">
      <c r="A33" s="5" t="s">
        <v>298</v>
      </c>
      <c r="B33" s="52">
        <f>B32*25</f>
        <v>420000</v>
      </c>
      <c r="C33" s="52">
        <f t="shared" ref="C33:J33" si="13">C32*25</f>
        <v>870000</v>
      </c>
      <c r="D33" s="52">
        <f t="shared" si="13"/>
        <v>1350000</v>
      </c>
      <c r="E33" s="52">
        <f t="shared" si="13"/>
        <v>1860000</v>
      </c>
      <c r="F33" s="52">
        <f t="shared" si="13"/>
        <v>1320000</v>
      </c>
      <c r="G33" s="52">
        <f t="shared" si="13"/>
        <v>750000</v>
      </c>
      <c r="H33" s="52">
        <f t="shared" si="13"/>
        <v>150000</v>
      </c>
      <c r="I33" s="52">
        <f t="shared" si="13"/>
        <v>0</v>
      </c>
      <c r="J33" s="52">
        <f t="shared" si="13"/>
        <v>0</v>
      </c>
    </row>
    <row r="34" spans="1:10" x14ac:dyDescent="0.6">
      <c r="A34" s="25"/>
      <c r="B34" s="111"/>
      <c r="C34" s="111"/>
      <c r="D34" s="111"/>
      <c r="E34" s="111"/>
      <c r="F34" s="111"/>
      <c r="G34" s="111"/>
      <c r="H34" s="111"/>
      <c r="I34" s="111"/>
      <c r="J34" s="111"/>
    </row>
    <row r="35" spans="1:10" x14ac:dyDescent="0.6">
      <c r="A35" s="45" t="s">
        <v>297</v>
      </c>
    </row>
    <row r="36" spans="1:10" x14ac:dyDescent="0.6">
      <c r="A36" s="118" t="s">
        <v>3</v>
      </c>
      <c r="B36" s="118" t="s">
        <v>48</v>
      </c>
      <c r="C36" s="118"/>
      <c r="D36" s="118"/>
      <c r="E36" s="118"/>
      <c r="F36" s="118"/>
      <c r="G36" s="118"/>
      <c r="H36" s="118"/>
      <c r="I36" s="118"/>
      <c r="J36" s="118"/>
    </row>
    <row r="37" spans="1:10" x14ac:dyDescent="0.6">
      <c r="A37" s="118"/>
      <c r="B37" s="93" t="s">
        <v>39</v>
      </c>
      <c r="C37" s="93" t="s">
        <v>40</v>
      </c>
      <c r="D37" s="93" t="s">
        <v>41</v>
      </c>
      <c r="E37" s="93" t="s">
        <v>42</v>
      </c>
      <c r="F37" s="93" t="s">
        <v>43</v>
      </c>
      <c r="G37" s="93" t="s">
        <v>44</v>
      </c>
      <c r="H37" s="93" t="s">
        <v>45</v>
      </c>
      <c r="I37" s="93" t="s">
        <v>46</v>
      </c>
      <c r="J37" s="93" t="s">
        <v>47</v>
      </c>
    </row>
    <row r="38" spans="1:10" x14ac:dyDescent="0.6">
      <c r="A38" s="5" t="s">
        <v>182</v>
      </c>
      <c r="B38" s="52">
        <v>0</v>
      </c>
      <c r="C38" s="52">
        <f>B42</f>
        <v>20160</v>
      </c>
      <c r="D38" s="52">
        <f t="shared" ref="D38" si="14">C42</f>
        <v>41760</v>
      </c>
      <c r="E38" s="52">
        <f t="shared" ref="E38" si="15">D42</f>
        <v>64800</v>
      </c>
      <c r="F38" s="52">
        <f t="shared" ref="F38" si="16">E42</f>
        <v>89280</v>
      </c>
      <c r="G38" s="52">
        <f t="shared" ref="G38" si="17">F42</f>
        <v>63360</v>
      </c>
      <c r="H38" s="52">
        <f t="shared" ref="H38" si="18">G42</f>
        <v>36000</v>
      </c>
      <c r="I38" s="52">
        <f t="shared" ref="I38" si="19">H42</f>
        <v>7200</v>
      </c>
      <c r="J38" s="52">
        <f t="shared" ref="J38" si="20">I42</f>
        <v>0</v>
      </c>
    </row>
    <row r="39" spans="1:10" x14ac:dyDescent="0.6">
      <c r="A39" s="5" t="s">
        <v>183</v>
      </c>
      <c r="B39" s="52">
        <f>B9</f>
        <v>2015999.9999999998</v>
      </c>
      <c r="C39" s="52">
        <f t="shared" ref="C39:J39" si="21">C9</f>
        <v>2160000</v>
      </c>
      <c r="D39" s="52">
        <f t="shared" si="21"/>
        <v>2304000</v>
      </c>
      <c r="E39" s="52">
        <f t="shared" si="21"/>
        <v>2448000</v>
      </c>
      <c r="F39" s="52">
        <f t="shared" si="21"/>
        <v>2592000</v>
      </c>
      <c r="G39" s="52">
        <f t="shared" si="21"/>
        <v>2736000</v>
      </c>
      <c r="H39" s="52">
        <f t="shared" si="21"/>
        <v>2880000</v>
      </c>
      <c r="I39" s="52">
        <f t="shared" si="21"/>
        <v>2880000</v>
      </c>
      <c r="J39" s="52">
        <f t="shared" si="21"/>
        <v>2880000</v>
      </c>
    </row>
    <row r="40" spans="1:10" x14ac:dyDescent="0.6">
      <c r="A40" s="5" t="s">
        <v>208</v>
      </c>
      <c r="B40" s="52">
        <f>SUM(B38:B39)</f>
        <v>2015999.9999999998</v>
      </c>
      <c r="C40" s="52">
        <f t="shared" ref="C40:J40" si="22">SUM(C38:C39)</f>
        <v>2180160</v>
      </c>
      <c r="D40" s="52">
        <f t="shared" si="22"/>
        <v>2345760</v>
      </c>
      <c r="E40" s="52">
        <f t="shared" si="22"/>
        <v>2512800</v>
      </c>
      <c r="F40" s="52">
        <f t="shared" si="22"/>
        <v>2681280</v>
      </c>
      <c r="G40" s="52">
        <f t="shared" si="22"/>
        <v>2799360</v>
      </c>
      <c r="H40" s="52">
        <f t="shared" si="22"/>
        <v>2916000</v>
      </c>
      <c r="I40" s="52">
        <f t="shared" si="22"/>
        <v>2887200</v>
      </c>
      <c r="J40" s="52">
        <f t="shared" si="22"/>
        <v>2880000</v>
      </c>
    </row>
    <row r="41" spans="1:10" x14ac:dyDescent="0.6">
      <c r="A41" s="5" t="s">
        <v>184</v>
      </c>
      <c r="B41" s="52">
        <f>B10</f>
        <v>1995839.9999999998</v>
      </c>
      <c r="C41" s="52">
        <f t="shared" ref="C41:J41" si="23">C10</f>
        <v>2138400</v>
      </c>
      <c r="D41" s="52">
        <f t="shared" si="23"/>
        <v>2280960</v>
      </c>
      <c r="E41" s="52">
        <f t="shared" si="23"/>
        <v>2423520</v>
      </c>
      <c r="F41" s="52">
        <f t="shared" si="23"/>
        <v>2617920</v>
      </c>
      <c r="G41" s="52">
        <f t="shared" si="23"/>
        <v>2763360</v>
      </c>
      <c r="H41" s="52">
        <f t="shared" si="23"/>
        <v>2908800</v>
      </c>
      <c r="I41" s="52">
        <f t="shared" si="23"/>
        <v>2887200</v>
      </c>
      <c r="J41" s="52">
        <f t="shared" si="23"/>
        <v>2880000</v>
      </c>
    </row>
    <row r="42" spans="1:10" x14ac:dyDescent="0.6">
      <c r="A42" s="5" t="s">
        <v>185</v>
      </c>
      <c r="B42" s="52">
        <f>B40-B41</f>
        <v>20160</v>
      </c>
      <c r="C42" s="52">
        <f t="shared" ref="C42:H42" si="24">C40-C41</f>
        <v>41760</v>
      </c>
      <c r="D42" s="52">
        <f t="shared" si="24"/>
        <v>64800</v>
      </c>
      <c r="E42" s="52">
        <f t="shared" si="24"/>
        <v>89280</v>
      </c>
      <c r="F42" s="52">
        <f t="shared" si="24"/>
        <v>63360</v>
      </c>
      <c r="G42" s="52">
        <f t="shared" si="24"/>
        <v>36000</v>
      </c>
      <c r="H42" s="52">
        <f t="shared" si="24"/>
        <v>7200</v>
      </c>
      <c r="I42" s="52">
        <f>MAX(I40-I41,0)</f>
        <v>0</v>
      </c>
      <c r="J42" s="52">
        <f>MAX(J40-J41,0)</f>
        <v>0</v>
      </c>
    </row>
    <row r="43" spans="1:10" x14ac:dyDescent="0.6">
      <c r="A43" s="5" t="s">
        <v>298</v>
      </c>
      <c r="B43" s="52">
        <f>B42*68</f>
        <v>1370880</v>
      </c>
      <c r="C43" s="52">
        <f t="shared" ref="C43:J43" si="25">C42*68</f>
        <v>2839680</v>
      </c>
      <c r="D43" s="52">
        <f t="shared" si="25"/>
        <v>4406400</v>
      </c>
      <c r="E43" s="52">
        <f t="shared" si="25"/>
        <v>6071040</v>
      </c>
      <c r="F43" s="52">
        <f t="shared" si="25"/>
        <v>4308480</v>
      </c>
      <c r="G43" s="52">
        <f t="shared" si="25"/>
        <v>2448000</v>
      </c>
      <c r="H43" s="52">
        <f t="shared" si="25"/>
        <v>489600</v>
      </c>
      <c r="I43" s="52">
        <f t="shared" si="25"/>
        <v>0</v>
      </c>
      <c r="J43" s="52">
        <f t="shared" si="25"/>
        <v>0</v>
      </c>
    </row>
    <row r="45" spans="1:10" x14ac:dyDescent="0.6">
      <c r="A45" s="4" t="s">
        <v>186</v>
      </c>
    </row>
    <row r="46" spans="1:10" x14ac:dyDescent="0.6">
      <c r="A46" s="4" t="s">
        <v>255</v>
      </c>
    </row>
    <row r="47" spans="1:10" x14ac:dyDescent="0.6">
      <c r="A47" s="4" t="s">
        <v>209</v>
      </c>
    </row>
  </sheetData>
  <mergeCells count="6">
    <mergeCell ref="B3:J3"/>
    <mergeCell ref="B26:J26"/>
    <mergeCell ref="A3:A4"/>
    <mergeCell ref="A26:A27"/>
    <mergeCell ref="A36:A37"/>
    <mergeCell ref="B36:J36"/>
  </mergeCells>
  <pageMargins left="0.7" right="0.7" top="0.75" bottom="0.75" header="0.3" footer="0.3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B69F-8F0D-45BD-B703-60FCEF10A70F}">
  <dimension ref="A2:J8"/>
  <sheetViews>
    <sheetView workbookViewId="0">
      <selection activeCell="B3" sqref="B3:F8"/>
    </sheetView>
  </sheetViews>
  <sheetFormatPr defaultRowHeight="14.5" x14ac:dyDescent="0.35"/>
  <cols>
    <col min="1" max="1" width="16.453125" bestFit="1" customWidth="1"/>
  </cols>
  <sheetData>
    <row r="2" spans="1:10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ht="17" x14ac:dyDescent="0.6">
      <c r="A3" t="s">
        <v>218</v>
      </c>
      <c r="B3" s="27">
        <f>'Ann 4'!C22/100000</f>
        <v>1850.6879999999996</v>
      </c>
      <c r="C3" s="27">
        <f>'Ann 4'!D22/100000</f>
        <v>1977.6959999999999</v>
      </c>
      <c r="D3" s="27">
        <f>'Ann 4'!E22/100000</f>
        <v>2106.3369600000001</v>
      </c>
      <c r="E3" s="27">
        <f>'Ann 4'!F22/100000</f>
        <v>2236.7088576000001</v>
      </c>
      <c r="F3" s="27">
        <f>'Ann 4'!G22/100000</f>
        <v>2405.2035490560002</v>
      </c>
      <c r="G3" s="1">
        <f>'Ann 4'!H22/100000</f>
        <v>2541.3711219993602</v>
      </c>
      <c r="H3" s="1">
        <f>'Ann 4'!I22/100000</f>
        <v>2679.6002693193218</v>
      </c>
      <c r="I3" s="1">
        <f>'Ann 4'!J22/100000</f>
        <v>2703.0866854784808</v>
      </c>
      <c r="J3" s="1">
        <f>'Ann 4'!K22/100000</f>
        <v>2738.9694866071904</v>
      </c>
    </row>
    <row r="4" spans="1:10" ht="17" x14ac:dyDescent="0.6">
      <c r="A4" t="s">
        <v>219</v>
      </c>
      <c r="B4" s="27">
        <f>'Ann 4'!C21/100000</f>
        <v>1804.0244</v>
      </c>
      <c r="C4" s="27">
        <f>'Ann 4'!D21/100000</f>
        <v>1931.7096200000001</v>
      </c>
      <c r="D4" s="27">
        <f>'Ann 4'!E21/100000</f>
        <v>2059.4963509999998</v>
      </c>
      <c r="E4" s="27">
        <f>'Ann 4'!F21/100000</f>
        <v>2187.3896685499999</v>
      </c>
      <c r="F4" s="27">
        <f>'Ann 4'!G21/100000</f>
        <v>2363.5845019775002</v>
      </c>
      <c r="G4" s="1">
        <f>'Ann 4'!H21/100000</f>
        <v>2494.3844470763747</v>
      </c>
      <c r="H4" s="1">
        <f>'Ann 4'!I21/100000</f>
        <v>2625.3077794301935</v>
      </c>
      <c r="I4" s="1">
        <f>'Ann 4'!J21/100000</f>
        <v>2606.7433823251408</v>
      </c>
      <c r="J4" s="1">
        <f>'Ann 4'!K21/100000</f>
        <v>2601.6407153648352</v>
      </c>
    </row>
    <row r="5" spans="1:10" ht="17" x14ac:dyDescent="0.6">
      <c r="A5" t="s">
        <v>220</v>
      </c>
      <c r="B5" s="27">
        <f>B3-B4</f>
        <v>46.663599999999633</v>
      </c>
      <c r="C5" s="27">
        <f t="shared" ref="C5:J5" si="0">C3-C4</f>
        <v>45.986379999999826</v>
      </c>
      <c r="D5" s="27">
        <f t="shared" si="0"/>
        <v>46.840609000000313</v>
      </c>
      <c r="E5" s="27">
        <f t="shared" si="0"/>
        <v>49.319189050000205</v>
      </c>
      <c r="F5" s="27">
        <f t="shared" si="0"/>
        <v>41.619047078499989</v>
      </c>
      <c r="G5" s="1">
        <f t="shared" si="0"/>
        <v>46.986674922985458</v>
      </c>
      <c r="H5" s="1">
        <f t="shared" si="0"/>
        <v>54.292489889128319</v>
      </c>
      <c r="I5" s="1">
        <f t="shared" si="0"/>
        <v>96.343303153340003</v>
      </c>
      <c r="J5" s="1">
        <f t="shared" si="0"/>
        <v>137.32877124235529</v>
      </c>
    </row>
    <row r="6" spans="1:10" ht="17" x14ac:dyDescent="0.6">
      <c r="A6" t="s">
        <v>221</v>
      </c>
      <c r="B6" s="27">
        <f>B5</f>
        <v>46.663599999999633</v>
      </c>
      <c r="C6" s="27">
        <f t="shared" ref="C6:J6" si="1">C5</f>
        <v>45.986379999999826</v>
      </c>
      <c r="D6" s="27">
        <f t="shared" si="1"/>
        <v>46.840609000000313</v>
      </c>
      <c r="E6" s="27">
        <f t="shared" si="1"/>
        <v>49.319189050000205</v>
      </c>
      <c r="F6" s="27">
        <f t="shared" si="1"/>
        <v>41.619047078499989</v>
      </c>
      <c r="G6" s="1">
        <f t="shared" si="1"/>
        <v>46.986674922985458</v>
      </c>
      <c r="H6" s="1">
        <f t="shared" si="1"/>
        <v>54.292489889128319</v>
      </c>
      <c r="I6" s="1">
        <f t="shared" si="1"/>
        <v>96.343303153340003</v>
      </c>
      <c r="J6" s="1">
        <f t="shared" si="1"/>
        <v>137.32877124235529</v>
      </c>
    </row>
    <row r="7" spans="1:10" ht="17" x14ac:dyDescent="0.6">
      <c r="A7" t="s">
        <v>222</v>
      </c>
      <c r="B7" s="94">
        <f>'Ann 4'!C33/100000</f>
        <v>32.623003846153544</v>
      </c>
      <c r="C7" s="94">
        <f>'Ann 4'!D33/100000</f>
        <v>33.665033846153847</v>
      </c>
      <c r="D7" s="94">
        <f>'Ann 4'!E33/100000</f>
        <v>36.153974384615452</v>
      </c>
      <c r="E7" s="94">
        <f>'Ann 4'!F33/100000</f>
        <v>40.109428473076932</v>
      </c>
      <c r="F7" s="94">
        <f>'Ann 4'!G33/100000</f>
        <v>33.751278665038555</v>
      </c>
      <c r="G7" s="2">
        <f>'Ann 4'!H33/100000</f>
        <v>40.345601079235436</v>
      </c>
      <c r="H7" s="2">
        <f>'Ann 4'!I33/100000</f>
        <v>48.77952446040225</v>
      </c>
      <c r="I7" s="2">
        <f>'Ann 4'!J33/100000</f>
        <v>91.673699951230844</v>
      </c>
      <c r="J7" s="2">
        <f>'Ann 4'!K33/100000</f>
        <v>133.09634476856212</v>
      </c>
    </row>
    <row r="8" spans="1:10" ht="17" x14ac:dyDescent="0.6">
      <c r="A8" t="s">
        <v>223</v>
      </c>
      <c r="B8" s="94">
        <f>'Ann 4'!C35/100000</f>
        <v>22.836102692307485</v>
      </c>
      <c r="C8" s="94">
        <f>'Ann 4'!D35/100000</f>
        <v>23.565523692307693</v>
      </c>
      <c r="D8" s="94">
        <f>'Ann 4'!E35/100000</f>
        <v>25.307782069230814</v>
      </c>
      <c r="E8" s="94">
        <f>'Ann 4'!F35/100000</f>
        <v>28.076599931153851</v>
      </c>
      <c r="F8" s="94">
        <f>'Ann 4'!G35/100000</f>
        <v>23.62589506552699</v>
      </c>
      <c r="G8" s="2">
        <f>'Ann 4'!H35/100000</f>
        <v>28.241920755464808</v>
      </c>
      <c r="H8" s="2">
        <f>'Ann 4'!I35/100000</f>
        <v>34.145667122281573</v>
      </c>
      <c r="I8" s="2">
        <f>'Ann 4'!J35/100000</f>
        <v>64.171589965861585</v>
      </c>
      <c r="J8" s="2">
        <f>'Ann 4'!K35/100000</f>
        <v>93.167441337993495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35DA7-00E0-4D15-8196-E2CB4C255341}">
  <sheetPr>
    <pageSetUpPr fitToPage="1"/>
  </sheetPr>
  <dimension ref="A1:L10"/>
  <sheetViews>
    <sheetView workbookViewId="0"/>
  </sheetViews>
  <sheetFormatPr defaultRowHeight="17" x14ac:dyDescent="0.6"/>
  <cols>
    <col min="1" max="1" width="8.7265625" style="4"/>
    <col min="2" max="2" width="84" style="4" bestFit="1" customWidth="1"/>
    <col min="3" max="3" width="12.36328125" style="4" bestFit="1" customWidth="1"/>
    <col min="4" max="12" width="12.54296875" style="4" bestFit="1" customWidth="1"/>
    <col min="13" max="16384" width="8.7265625" style="4"/>
  </cols>
  <sheetData>
    <row r="1" spans="1:12" x14ac:dyDescent="0.6">
      <c r="A1" s="3" t="s">
        <v>243</v>
      </c>
      <c r="B1" s="3" t="s">
        <v>244</v>
      </c>
    </row>
    <row r="2" spans="1:12" x14ac:dyDescent="0.6">
      <c r="A2" s="4">
        <v>1</v>
      </c>
      <c r="B2" s="4" t="s">
        <v>259</v>
      </c>
    </row>
    <row r="3" spans="1:12" x14ac:dyDescent="0.6">
      <c r="A3" s="4">
        <v>2</v>
      </c>
      <c r="B3" s="4" t="s">
        <v>258</v>
      </c>
    </row>
    <row r="4" spans="1:12" x14ac:dyDescent="0.6">
      <c r="A4" s="4">
        <v>3</v>
      </c>
      <c r="B4" s="4" t="s">
        <v>309</v>
      </c>
    </row>
    <row r="5" spans="1:12" x14ac:dyDescent="0.6">
      <c r="A5" s="4">
        <v>4</v>
      </c>
      <c r="B5" s="4" t="s">
        <v>246</v>
      </c>
    </row>
    <row r="6" spans="1:12" x14ac:dyDescent="0.6">
      <c r="C6" s="4" t="s">
        <v>190</v>
      </c>
      <c r="D6" s="4">
        <v>150000</v>
      </c>
      <c r="E6" s="63">
        <f>D6*1.05</f>
        <v>157500</v>
      </c>
      <c r="F6" s="63">
        <f t="shared" ref="F6:J6" si="0">E6*1.05</f>
        <v>165375</v>
      </c>
      <c r="G6" s="63">
        <f t="shared" si="0"/>
        <v>173643.75</v>
      </c>
      <c r="H6" s="63">
        <f t="shared" si="0"/>
        <v>182325.9375</v>
      </c>
      <c r="I6" s="63">
        <f t="shared" si="0"/>
        <v>191442.234375</v>
      </c>
      <c r="J6" s="63">
        <f t="shared" si="0"/>
        <v>201014.34609375001</v>
      </c>
      <c r="K6" s="63">
        <f>J6</f>
        <v>201014.34609375001</v>
      </c>
      <c r="L6" s="63">
        <f>K6</f>
        <v>201014.34609375001</v>
      </c>
    </row>
    <row r="7" spans="1:12" x14ac:dyDescent="0.6">
      <c r="C7" s="4" t="s">
        <v>72</v>
      </c>
      <c r="D7" s="63">
        <f>D6*12</f>
        <v>1800000</v>
      </c>
      <c r="E7" s="63">
        <f t="shared" ref="E7:L7" si="1">E6*12</f>
        <v>1890000</v>
      </c>
      <c r="F7" s="63">
        <f t="shared" si="1"/>
        <v>1984500</v>
      </c>
      <c r="G7" s="63">
        <f t="shared" si="1"/>
        <v>2083725</v>
      </c>
      <c r="H7" s="63">
        <f t="shared" si="1"/>
        <v>2187911.25</v>
      </c>
      <c r="I7" s="63">
        <f t="shared" si="1"/>
        <v>2297306.8125</v>
      </c>
      <c r="J7" s="63">
        <f t="shared" si="1"/>
        <v>2412172.1531250002</v>
      </c>
      <c r="K7" s="63">
        <f t="shared" si="1"/>
        <v>2412172.1531250002</v>
      </c>
      <c r="L7" s="63">
        <f t="shared" si="1"/>
        <v>2412172.1531250002</v>
      </c>
    </row>
    <row r="8" spans="1:12" x14ac:dyDescent="0.6">
      <c r="A8" s="4">
        <v>5</v>
      </c>
      <c r="B8" s="4" t="s">
        <v>310</v>
      </c>
    </row>
    <row r="9" spans="1:12" x14ac:dyDescent="0.6">
      <c r="A9" s="4">
        <v>6</v>
      </c>
      <c r="B9" s="4" t="s">
        <v>260</v>
      </c>
    </row>
    <row r="10" spans="1:12" x14ac:dyDescent="0.6">
      <c r="A10" s="4">
        <v>7</v>
      </c>
      <c r="B10" s="4" t="s">
        <v>245</v>
      </c>
    </row>
  </sheetData>
  <pageMargins left="0.7" right="0.7" top="0.75" bottom="0.75" header="0.3" footer="0.3"/>
  <pageSetup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8DE0-72C3-4C7B-BCE1-80ED309267B8}">
  <dimension ref="A1:K7"/>
  <sheetViews>
    <sheetView workbookViewId="0">
      <selection activeCell="C5" sqref="C5"/>
    </sheetView>
  </sheetViews>
  <sheetFormatPr defaultRowHeight="14.5" x14ac:dyDescent="0.35"/>
  <cols>
    <col min="3" max="3" width="8.81640625" bestFit="1" customWidth="1"/>
    <col min="4" max="5" width="11.81640625" bestFit="1" customWidth="1"/>
    <col min="6" max="6" width="9.81640625" bestFit="1" customWidth="1"/>
    <col min="7" max="11" width="11.81640625" bestFit="1" customWidth="1"/>
  </cols>
  <sheetData>
    <row r="1" spans="1:11" x14ac:dyDescent="0.35">
      <c r="A1" t="s">
        <v>147</v>
      </c>
    </row>
    <row r="2" spans="1:11" x14ac:dyDescent="0.35"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  <c r="K2" t="s">
        <v>47</v>
      </c>
    </row>
    <row r="3" spans="1:11" x14ac:dyDescent="0.35">
      <c r="A3" t="s">
        <v>148</v>
      </c>
      <c r="C3">
        <f>'Ann 4'!C22/300*270</f>
        <v>166561919.99999997</v>
      </c>
      <c r="D3">
        <f>'Ann 4'!D22/300*270</f>
        <v>177992640</v>
      </c>
      <c r="E3">
        <f>'Ann 4'!E22/300*270</f>
        <v>189570326.39999998</v>
      </c>
      <c r="F3">
        <f>'Ann 4'!F22/300*270</f>
        <v>201303797.18399999</v>
      </c>
      <c r="G3">
        <f>'Ann 4'!G22/300*270</f>
        <v>216468319.41504002</v>
      </c>
      <c r="H3">
        <f>'Ann 4'!H22/300*270</f>
        <v>228723400.97994241</v>
      </c>
      <c r="I3">
        <f>'Ann 4'!I22/300*270</f>
        <v>241164024.23873898</v>
      </c>
      <c r="J3">
        <f>'Ann 4'!J22/300*270</f>
        <v>243277801.69306329</v>
      </c>
      <c r="K3">
        <f>'Ann 4'!K22/300*270</f>
        <v>246507253.79464713</v>
      </c>
    </row>
    <row r="4" spans="1:11" x14ac:dyDescent="0.35">
      <c r="A4" t="s">
        <v>149</v>
      </c>
      <c r="C4">
        <v>5000000</v>
      </c>
    </row>
    <row r="5" spans="1:11" x14ac:dyDescent="0.35">
      <c r="A5" t="s">
        <v>150</v>
      </c>
      <c r="C5">
        <v>21492978</v>
      </c>
    </row>
    <row r="7" spans="1:11" x14ac:dyDescent="0.35">
      <c r="A7" t="s">
        <v>151</v>
      </c>
      <c r="C7">
        <f>'Ann 3'!G19</f>
        <v>6600000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738-A431-4FFB-9E48-2908CC4F126C}">
  <sheetPr>
    <pageSetUpPr fitToPage="1"/>
  </sheetPr>
  <dimension ref="A1:C42"/>
  <sheetViews>
    <sheetView workbookViewId="0"/>
  </sheetViews>
  <sheetFormatPr defaultRowHeight="17" x14ac:dyDescent="0.6"/>
  <cols>
    <col min="1" max="1" width="8.7265625" style="4"/>
    <col min="2" max="2" width="44.90625" style="4" customWidth="1"/>
    <col min="3" max="3" width="13.26953125" style="4" customWidth="1"/>
    <col min="4" max="16384" width="8.7265625" style="4"/>
  </cols>
  <sheetData>
    <row r="1" spans="1:3" x14ac:dyDescent="0.6">
      <c r="A1" s="3" t="s">
        <v>248</v>
      </c>
    </row>
    <row r="3" spans="1:3" x14ac:dyDescent="0.6">
      <c r="A3" s="3" t="s">
        <v>0</v>
      </c>
    </row>
    <row r="5" spans="1:3" x14ac:dyDescent="0.6">
      <c r="A5" s="19" t="s">
        <v>1</v>
      </c>
      <c r="B5" s="20"/>
      <c r="C5" s="21"/>
    </row>
    <row r="6" spans="1:3" ht="34" x14ac:dyDescent="0.6">
      <c r="A6" s="22" t="s">
        <v>2</v>
      </c>
      <c r="B6" s="22" t="s">
        <v>3</v>
      </c>
      <c r="C6" s="23" t="s">
        <v>4</v>
      </c>
    </row>
    <row r="7" spans="1:3" x14ac:dyDescent="0.6">
      <c r="A7" s="8">
        <v>1</v>
      </c>
      <c r="B7" s="9" t="s">
        <v>6</v>
      </c>
      <c r="C7" s="10"/>
    </row>
    <row r="8" spans="1:3" x14ac:dyDescent="0.6">
      <c r="A8" s="8" t="s">
        <v>5</v>
      </c>
      <c r="B8" s="9" t="s">
        <v>7</v>
      </c>
      <c r="C8" s="11">
        <v>0</v>
      </c>
    </row>
    <row r="9" spans="1:3" x14ac:dyDescent="0.6">
      <c r="A9" s="8"/>
      <c r="B9" s="9" t="s">
        <v>8</v>
      </c>
      <c r="C9" s="11">
        <f>SUM(C8)</f>
        <v>0</v>
      </c>
    </row>
    <row r="10" spans="1:3" x14ac:dyDescent="0.6">
      <c r="A10" s="8"/>
      <c r="B10" s="9"/>
      <c r="C10" s="10"/>
    </row>
    <row r="11" spans="1:3" x14ac:dyDescent="0.6">
      <c r="A11" s="8">
        <v>2</v>
      </c>
      <c r="B11" s="9" t="s">
        <v>174</v>
      </c>
      <c r="C11" s="11">
        <f>(4000*400)/100000</f>
        <v>16</v>
      </c>
    </row>
    <row r="12" spans="1:3" x14ac:dyDescent="0.6">
      <c r="A12" s="8" t="s">
        <v>5</v>
      </c>
      <c r="B12" s="9" t="s">
        <v>8</v>
      </c>
      <c r="C12" s="11">
        <f>C11</f>
        <v>16</v>
      </c>
    </row>
    <row r="13" spans="1:3" x14ac:dyDescent="0.6">
      <c r="A13" s="8"/>
      <c r="B13" s="9"/>
      <c r="C13" s="10"/>
    </row>
    <row r="14" spans="1:3" x14ac:dyDescent="0.6">
      <c r="A14" s="8">
        <v>3</v>
      </c>
      <c r="B14" s="9" t="s">
        <v>9</v>
      </c>
      <c r="C14" s="10"/>
    </row>
    <row r="15" spans="1:3" x14ac:dyDescent="0.6">
      <c r="A15" s="8" t="s">
        <v>5</v>
      </c>
      <c r="B15" s="9" t="s">
        <v>9</v>
      </c>
      <c r="C15" s="12"/>
    </row>
    <row r="16" spans="1:3" x14ac:dyDescent="0.6">
      <c r="A16" s="8"/>
      <c r="B16" s="9" t="s">
        <v>8</v>
      </c>
      <c r="C16" s="12">
        <f>C15</f>
        <v>0</v>
      </c>
    </row>
    <row r="17" spans="1:3" x14ac:dyDescent="0.6">
      <c r="A17" s="8"/>
      <c r="B17" s="9"/>
      <c r="C17" s="10"/>
    </row>
    <row r="18" spans="1:3" x14ac:dyDescent="0.6">
      <c r="A18" s="8">
        <v>4</v>
      </c>
      <c r="B18" s="9" t="s">
        <v>10</v>
      </c>
      <c r="C18" s="10"/>
    </row>
    <row r="19" spans="1:3" x14ac:dyDescent="0.6">
      <c r="A19" s="8" t="s">
        <v>5</v>
      </c>
      <c r="B19" s="9" t="s">
        <v>11</v>
      </c>
      <c r="C19" s="12">
        <f>'Ann 3'!G17/100000</f>
        <v>50</v>
      </c>
    </row>
    <row r="20" spans="1:3" x14ac:dyDescent="0.6">
      <c r="A20" s="8"/>
      <c r="B20" s="9" t="s">
        <v>8</v>
      </c>
      <c r="C20" s="13">
        <f>C19</f>
        <v>50</v>
      </c>
    </row>
    <row r="21" spans="1:3" x14ac:dyDescent="0.6">
      <c r="A21" s="8"/>
      <c r="B21" s="9"/>
      <c r="C21" s="10"/>
    </row>
    <row r="22" spans="1:3" x14ac:dyDescent="0.6">
      <c r="A22" s="8">
        <v>5</v>
      </c>
      <c r="B22" s="9" t="s">
        <v>12</v>
      </c>
      <c r="C22" s="10"/>
    </row>
    <row r="23" spans="1:3" x14ac:dyDescent="0.6">
      <c r="A23" s="8" t="s">
        <v>5</v>
      </c>
      <c r="B23" s="9" t="s">
        <v>13</v>
      </c>
      <c r="C23" s="11">
        <v>0</v>
      </c>
    </row>
    <row r="24" spans="1:3" x14ac:dyDescent="0.6">
      <c r="A24" s="8"/>
      <c r="B24" s="9"/>
      <c r="C24" s="11"/>
    </row>
    <row r="25" spans="1:3" x14ac:dyDescent="0.6">
      <c r="A25" s="8">
        <v>6</v>
      </c>
      <c r="B25" s="9" t="s">
        <v>14</v>
      </c>
      <c r="C25" s="11">
        <v>15</v>
      </c>
    </row>
    <row r="26" spans="1:3" x14ac:dyDescent="0.6">
      <c r="A26" s="8"/>
      <c r="B26" s="9"/>
      <c r="C26" s="11"/>
    </row>
    <row r="27" spans="1:3" x14ac:dyDescent="0.6">
      <c r="A27" s="8">
        <v>7</v>
      </c>
      <c r="B27" s="9" t="s">
        <v>15</v>
      </c>
      <c r="C27" s="11"/>
    </row>
    <row r="28" spans="1:3" x14ac:dyDescent="0.6">
      <c r="A28" s="8" t="s">
        <v>5</v>
      </c>
      <c r="B28" s="9" t="s">
        <v>16</v>
      </c>
      <c r="C28" s="11">
        <v>0</v>
      </c>
    </row>
    <row r="29" spans="1:3" x14ac:dyDescent="0.6">
      <c r="A29" s="8"/>
      <c r="B29" s="9" t="s">
        <v>8</v>
      </c>
      <c r="C29" s="11"/>
    </row>
    <row r="30" spans="1:3" x14ac:dyDescent="0.6">
      <c r="A30" s="8"/>
      <c r="B30" s="9"/>
      <c r="C30" s="11"/>
    </row>
    <row r="31" spans="1:3" x14ac:dyDescent="0.6">
      <c r="A31" s="8">
        <v>8</v>
      </c>
      <c r="B31" s="9" t="s">
        <v>17</v>
      </c>
      <c r="C31" s="10"/>
    </row>
    <row r="32" spans="1:3" ht="34" x14ac:dyDescent="0.6">
      <c r="A32" s="8"/>
      <c r="B32" s="14" t="s">
        <v>18</v>
      </c>
      <c r="C32" s="10"/>
    </row>
    <row r="33" spans="1:3" x14ac:dyDescent="0.6">
      <c r="A33" s="8" t="s">
        <v>5</v>
      </c>
      <c r="B33" s="9" t="s">
        <v>19</v>
      </c>
      <c r="C33" s="11">
        <v>0</v>
      </c>
    </row>
    <row r="34" spans="1:3" x14ac:dyDescent="0.6">
      <c r="A34" s="8" t="s">
        <v>20</v>
      </c>
      <c r="B34" s="9" t="s">
        <v>21</v>
      </c>
      <c r="C34" s="11">
        <v>0</v>
      </c>
    </row>
    <row r="35" spans="1:3" x14ac:dyDescent="0.6">
      <c r="A35" s="8"/>
      <c r="B35" s="9" t="s">
        <v>8</v>
      </c>
      <c r="C35" s="11">
        <f>SUM(C33:C34)</f>
        <v>0</v>
      </c>
    </row>
    <row r="36" spans="1:3" x14ac:dyDescent="0.6">
      <c r="A36" s="8"/>
      <c r="B36" s="9"/>
      <c r="C36" s="11"/>
    </row>
    <row r="37" spans="1:3" x14ac:dyDescent="0.6">
      <c r="A37" s="8">
        <v>9</v>
      </c>
      <c r="B37" s="9" t="s">
        <v>173</v>
      </c>
      <c r="C37" s="11">
        <v>0</v>
      </c>
    </row>
    <row r="38" spans="1:3" x14ac:dyDescent="0.6">
      <c r="A38" s="8"/>
      <c r="B38" s="9"/>
      <c r="C38" s="10"/>
    </row>
    <row r="39" spans="1:3" x14ac:dyDescent="0.6">
      <c r="A39" s="15"/>
      <c r="B39" s="16" t="s">
        <v>22</v>
      </c>
      <c r="C39" s="17">
        <f>C35+C28+C25+C20+C16+C23+C37+C12</f>
        <v>81</v>
      </c>
    </row>
    <row r="40" spans="1:3" x14ac:dyDescent="0.6">
      <c r="A40" s="18"/>
    </row>
    <row r="41" spans="1:3" x14ac:dyDescent="0.6">
      <c r="A41" s="18"/>
    </row>
    <row r="42" spans="1:3" x14ac:dyDescent="0.6">
      <c r="A42" s="18"/>
    </row>
  </sheetData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81CD-D127-4212-A91B-7CC6FC2C782F}">
  <dimension ref="A1:D9"/>
  <sheetViews>
    <sheetView workbookViewId="0"/>
  </sheetViews>
  <sheetFormatPr defaultRowHeight="17" x14ac:dyDescent="0.6"/>
  <cols>
    <col min="1" max="1" width="8.7265625" style="4"/>
    <col min="2" max="2" width="22.08984375" style="4" customWidth="1"/>
    <col min="3" max="3" width="18.81640625" style="4" bestFit="1" customWidth="1"/>
    <col min="4" max="16384" width="8.7265625" style="4"/>
  </cols>
  <sheetData>
    <row r="1" spans="1:4" x14ac:dyDescent="0.6">
      <c r="A1" s="3" t="s">
        <v>23</v>
      </c>
    </row>
    <row r="3" spans="1:4" x14ac:dyDescent="0.6">
      <c r="A3" s="32" t="s">
        <v>24</v>
      </c>
      <c r="B3" s="20" t="s">
        <v>25</v>
      </c>
      <c r="C3" s="21" t="s">
        <v>4</v>
      </c>
    </row>
    <row r="4" spans="1:4" x14ac:dyDescent="0.6">
      <c r="A4" s="24">
        <v>1</v>
      </c>
      <c r="B4" s="25" t="s">
        <v>26</v>
      </c>
      <c r="C4" s="12">
        <f>C8*10%</f>
        <v>8.1</v>
      </c>
      <c r="D4" s="26"/>
    </row>
    <row r="5" spans="1:4" x14ac:dyDescent="0.6">
      <c r="A5" s="24">
        <v>2</v>
      </c>
      <c r="B5" s="25" t="s">
        <v>27</v>
      </c>
      <c r="C5" s="13">
        <v>0</v>
      </c>
      <c r="D5" s="27"/>
    </row>
    <row r="6" spans="1:4" x14ac:dyDescent="0.6">
      <c r="A6" s="24">
        <v>3</v>
      </c>
      <c r="B6" s="25" t="s">
        <v>28</v>
      </c>
      <c r="C6" s="12">
        <f>C8-C4-C7</f>
        <v>57.900000000000006</v>
      </c>
      <c r="D6" s="26"/>
    </row>
    <row r="7" spans="1:4" x14ac:dyDescent="0.6">
      <c r="A7" s="24">
        <v>4</v>
      </c>
      <c r="B7" s="25" t="s">
        <v>29</v>
      </c>
      <c r="C7" s="11">
        <f>'Ann 1'!C25</f>
        <v>15</v>
      </c>
    </row>
    <row r="8" spans="1:4" x14ac:dyDescent="0.6">
      <c r="A8" s="28"/>
      <c r="B8" s="29" t="s">
        <v>8</v>
      </c>
      <c r="C8" s="30">
        <f>'Ann 1'!C39</f>
        <v>81</v>
      </c>
    </row>
    <row r="9" spans="1:4" x14ac:dyDescent="0.6">
      <c r="C9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2858-CA67-4C56-BFC5-E2781F80B181}">
  <dimension ref="A1:I21"/>
  <sheetViews>
    <sheetView workbookViewId="0">
      <selection activeCell="G17" sqref="G17"/>
    </sheetView>
  </sheetViews>
  <sheetFormatPr defaultRowHeight="17" x14ac:dyDescent="0.6"/>
  <cols>
    <col min="1" max="1" width="3.6328125" style="4" customWidth="1"/>
    <col min="2" max="2" width="26.08984375" style="4" customWidth="1"/>
    <col min="3" max="3" width="8.7265625" style="4"/>
    <col min="4" max="4" width="12.7265625" style="4" bestFit="1" customWidth="1"/>
    <col min="5" max="5" width="8.7265625" style="4"/>
    <col min="6" max="6" width="10.54296875" style="4" customWidth="1"/>
    <col min="7" max="7" width="11" style="4" bestFit="1" customWidth="1"/>
    <col min="8" max="8" width="8.7265625" style="4"/>
    <col min="9" max="9" width="9.1796875" style="4" bestFit="1" customWidth="1"/>
    <col min="10" max="16384" width="8.7265625" style="4"/>
  </cols>
  <sheetData>
    <row r="1" spans="1:9" x14ac:dyDescent="0.6">
      <c r="A1" s="3" t="s">
        <v>30</v>
      </c>
    </row>
    <row r="3" spans="1:9" x14ac:dyDescent="0.6">
      <c r="A3" s="32" t="s">
        <v>311</v>
      </c>
      <c r="B3" s="20"/>
      <c r="C3" s="20"/>
      <c r="D3" s="20"/>
      <c r="E3" s="20" t="s">
        <v>31</v>
      </c>
      <c r="F3" s="20"/>
      <c r="G3" s="21" t="s">
        <v>32</v>
      </c>
    </row>
    <row r="4" spans="1:9" x14ac:dyDescent="0.6">
      <c r="A4" s="28"/>
      <c r="B4" s="29" t="s">
        <v>273</v>
      </c>
      <c r="C4" s="29"/>
      <c r="D4" s="29"/>
      <c r="E4" s="29"/>
      <c r="F4" s="29"/>
      <c r="G4" s="92">
        <f>4000*400</f>
        <v>1600000</v>
      </c>
    </row>
    <row r="5" spans="1:9" s="3" customFormat="1" x14ac:dyDescent="0.6">
      <c r="A5" s="89" t="s">
        <v>277</v>
      </c>
      <c r="B5" s="90"/>
      <c r="C5" s="90"/>
      <c r="D5" s="90"/>
      <c r="E5" s="90"/>
      <c r="F5" s="90"/>
      <c r="G5" s="91">
        <f>SUM(G4)</f>
        <v>1600000</v>
      </c>
    </row>
    <row r="7" spans="1:9" x14ac:dyDescent="0.6">
      <c r="A7" s="32" t="s">
        <v>33</v>
      </c>
      <c r="B7" s="20"/>
      <c r="C7" s="20"/>
      <c r="D7" s="20"/>
      <c r="E7" s="20" t="s">
        <v>31</v>
      </c>
      <c r="F7" s="20"/>
      <c r="G7" s="21" t="s">
        <v>32</v>
      </c>
    </row>
    <row r="8" spans="1:9" x14ac:dyDescent="0.6">
      <c r="A8" s="24">
        <v>1</v>
      </c>
      <c r="B8" s="25" t="s">
        <v>265</v>
      </c>
      <c r="C8" s="25"/>
      <c r="D8" s="25"/>
      <c r="E8" s="25">
        <v>1</v>
      </c>
      <c r="F8" s="25"/>
      <c r="G8" s="92">
        <f>E8*400000</f>
        <v>400000</v>
      </c>
    </row>
    <row r="9" spans="1:9" x14ac:dyDescent="0.6">
      <c r="A9" s="24">
        <v>2</v>
      </c>
      <c r="B9" s="87" t="s">
        <v>266</v>
      </c>
      <c r="C9" s="25"/>
      <c r="D9" s="87"/>
      <c r="E9" s="25">
        <v>1</v>
      </c>
      <c r="F9" s="88"/>
      <c r="G9" s="92">
        <f>E9*300000</f>
        <v>300000</v>
      </c>
    </row>
    <row r="10" spans="1:9" x14ac:dyDescent="0.6">
      <c r="A10" s="24">
        <v>3</v>
      </c>
      <c r="B10" s="87" t="s">
        <v>264</v>
      </c>
      <c r="C10" s="25"/>
      <c r="D10" s="87"/>
      <c r="E10" s="25">
        <v>1</v>
      </c>
      <c r="F10" s="88"/>
      <c r="G10" s="92">
        <f>E10*2200000</f>
        <v>2200000</v>
      </c>
    </row>
    <row r="11" spans="1:9" x14ac:dyDescent="0.6">
      <c r="A11" s="24">
        <v>4</v>
      </c>
      <c r="B11" s="87" t="s">
        <v>267</v>
      </c>
      <c r="C11" s="25"/>
      <c r="D11" s="87"/>
      <c r="E11" s="25">
        <v>1</v>
      </c>
      <c r="F11" s="88"/>
      <c r="G11" s="92">
        <f>E11*145000</f>
        <v>145000</v>
      </c>
      <c r="I11" s="50"/>
    </row>
    <row r="12" spans="1:9" x14ac:dyDescent="0.6">
      <c r="A12" s="24">
        <v>5</v>
      </c>
      <c r="B12" s="87" t="s">
        <v>268</v>
      </c>
      <c r="C12" s="25"/>
      <c r="D12" s="87"/>
      <c r="E12" s="25">
        <v>2</v>
      </c>
      <c r="F12" s="88"/>
      <c r="G12" s="92">
        <f>E12*50000</f>
        <v>100000</v>
      </c>
    </row>
    <row r="13" spans="1:9" x14ac:dyDescent="0.6">
      <c r="A13" s="24">
        <v>6</v>
      </c>
      <c r="B13" s="87" t="s">
        <v>269</v>
      </c>
      <c r="C13" s="25"/>
      <c r="D13" s="87"/>
      <c r="E13" s="25">
        <v>1</v>
      </c>
      <c r="F13" s="88"/>
      <c r="G13" s="92">
        <f>E13*320000</f>
        <v>320000</v>
      </c>
    </row>
    <row r="14" spans="1:9" x14ac:dyDescent="0.6">
      <c r="A14" s="24">
        <v>7</v>
      </c>
      <c r="B14" s="87" t="s">
        <v>270</v>
      </c>
      <c r="C14" s="25"/>
      <c r="D14" s="87"/>
      <c r="E14" s="25"/>
      <c r="F14" s="88"/>
      <c r="G14" s="92">
        <v>500000</v>
      </c>
    </row>
    <row r="15" spans="1:9" x14ac:dyDescent="0.6">
      <c r="A15" s="24">
        <v>8</v>
      </c>
      <c r="B15" s="87" t="s">
        <v>271</v>
      </c>
      <c r="C15" s="25"/>
      <c r="D15" s="87"/>
      <c r="E15" s="25"/>
      <c r="F15" s="88"/>
      <c r="G15" s="92">
        <v>235000</v>
      </c>
    </row>
    <row r="16" spans="1:9" x14ac:dyDescent="0.6">
      <c r="A16" s="24">
        <v>9</v>
      </c>
      <c r="B16" s="87" t="s">
        <v>272</v>
      </c>
      <c r="C16" s="25"/>
      <c r="D16" s="87"/>
      <c r="E16" s="25"/>
      <c r="F16" s="88"/>
      <c r="G16" s="92">
        <v>800000</v>
      </c>
    </row>
    <row r="17" spans="1:7" s="3" customFormat="1" x14ac:dyDescent="0.6">
      <c r="A17" s="89" t="s">
        <v>34</v>
      </c>
      <c r="B17" s="90"/>
      <c r="C17" s="90"/>
      <c r="D17" s="90"/>
      <c r="E17" s="90"/>
      <c r="F17" s="90"/>
      <c r="G17" s="91">
        <f>SUM(G8:G16)</f>
        <v>5000000</v>
      </c>
    </row>
    <row r="18" spans="1:7" x14ac:dyDescent="0.6">
      <c r="A18" s="24"/>
      <c r="B18" s="25"/>
      <c r="C18" s="25"/>
      <c r="D18" s="25"/>
      <c r="E18" s="25"/>
      <c r="F18" s="25"/>
      <c r="G18" s="10"/>
    </row>
    <row r="19" spans="1:7" s="3" customFormat="1" x14ac:dyDescent="0.6">
      <c r="A19" s="89" t="s">
        <v>35</v>
      </c>
      <c r="B19" s="90"/>
      <c r="C19" s="90"/>
      <c r="D19" s="90"/>
      <c r="E19" s="90"/>
      <c r="F19" s="90"/>
      <c r="G19" s="91">
        <f>G17+G5</f>
        <v>6600000</v>
      </c>
    </row>
    <row r="20" spans="1:7" x14ac:dyDescent="0.6">
      <c r="G20" s="65"/>
    </row>
    <row r="21" spans="1:7" x14ac:dyDescent="0.6">
      <c r="G21" s="5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FA6-76E6-4673-8AD3-A2A7C9EA52B0}">
  <sheetPr>
    <pageSetUpPr fitToPage="1"/>
  </sheetPr>
  <dimension ref="A1:K45"/>
  <sheetViews>
    <sheetView topLeftCell="C24" workbookViewId="0">
      <selection activeCell="K36" sqref="K36"/>
    </sheetView>
  </sheetViews>
  <sheetFormatPr defaultRowHeight="17" x14ac:dyDescent="0.6"/>
  <cols>
    <col min="1" max="1" width="8.7265625" style="4"/>
    <col min="2" max="2" width="55.7265625" style="4" bestFit="1" customWidth="1"/>
    <col min="3" max="11" width="15.6328125" style="4" bestFit="1" customWidth="1"/>
    <col min="12" max="16384" width="8.7265625" style="4"/>
  </cols>
  <sheetData>
    <row r="1" spans="1:11" x14ac:dyDescent="0.6">
      <c r="A1" s="3" t="s">
        <v>36</v>
      </c>
    </row>
    <row r="3" spans="1:11" x14ac:dyDescent="0.6">
      <c r="A3" s="119" t="s">
        <v>37</v>
      </c>
      <c r="B3" s="119" t="s">
        <v>38</v>
      </c>
      <c r="C3" s="118" t="s">
        <v>48</v>
      </c>
      <c r="D3" s="118"/>
      <c r="E3" s="118"/>
      <c r="F3" s="118"/>
      <c r="G3" s="118"/>
      <c r="H3" s="118"/>
      <c r="I3" s="118"/>
      <c r="J3" s="118"/>
      <c r="K3" s="118"/>
    </row>
    <row r="4" spans="1:11" x14ac:dyDescent="0.6">
      <c r="A4" s="119"/>
      <c r="B4" s="119"/>
      <c r="C4" s="35" t="s">
        <v>39</v>
      </c>
      <c r="D4" s="35" t="s">
        <v>40</v>
      </c>
      <c r="E4" s="35" t="s">
        <v>41</v>
      </c>
      <c r="F4" s="35" t="s">
        <v>42</v>
      </c>
      <c r="G4" s="35" t="s">
        <v>43</v>
      </c>
      <c r="H4" s="35" t="s">
        <v>44</v>
      </c>
      <c r="I4" s="35" t="s">
        <v>45</v>
      </c>
      <c r="J4" s="35" t="s">
        <v>46</v>
      </c>
      <c r="K4" s="35" t="s">
        <v>47</v>
      </c>
    </row>
    <row r="5" spans="1:11" x14ac:dyDescent="0.6">
      <c r="A5" s="5"/>
      <c r="B5" s="5" t="s">
        <v>49</v>
      </c>
      <c r="C5" s="5">
        <v>12</v>
      </c>
      <c r="D5" s="5">
        <v>12</v>
      </c>
      <c r="E5" s="5">
        <v>12</v>
      </c>
      <c r="F5" s="5">
        <v>12</v>
      </c>
      <c r="G5" s="5">
        <v>12</v>
      </c>
      <c r="H5" s="5">
        <v>12</v>
      </c>
      <c r="I5" s="5">
        <v>12</v>
      </c>
      <c r="J5" s="5">
        <v>12</v>
      </c>
      <c r="K5" s="5">
        <v>12</v>
      </c>
    </row>
    <row r="6" spans="1:11" x14ac:dyDescent="0.6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6">
      <c r="A7" s="5"/>
      <c r="B7" s="5" t="s">
        <v>188</v>
      </c>
      <c r="C7" s="33">
        <f>(Budgets!B6*1.02*Budgets!$D$23)+(Budgets!B9*1.02*Budgets!$F$23)</f>
        <v>157651200</v>
      </c>
      <c r="D7" s="33">
        <f>(Budgets!C6*1.02*Budgets!$D$23)+(Budgets!C9*1.02*Budgets!$F$23)</f>
        <v>168912000</v>
      </c>
      <c r="E7" s="33">
        <f>(Budgets!D6*1.02*Budgets!$D$23)+(Budgets!D9*1.02*Budgets!$F$23)</f>
        <v>180172800</v>
      </c>
      <c r="F7" s="33">
        <f>(Budgets!E6*1.02*Budgets!$D$23)+(Budgets!E9*1.02*Budgets!$F$23)</f>
        <v>191433600</v>
      </c>
      <c r="G7" s="33">
        <f>(Budgets!F6*1.02*Budgets!$D$23)+(Budgets!F9*1.02*Budgets!$F$23)</f>
        <v>202694400</v>
      </c>
      <c r="H7" s="33">
        <f>(Budgets!G6*1.02*Budgets!$D$23)+(Budgets!G9*1.02*Budgets!$F$23)</f>
        <v>213955200</v>
      </c>
      <c r="I7" s="33">
        <f>(Budgets!H6*1.02*Budgets!$D$23)+(Budgets!H9*1.02*Budgets!$F$23)</f>
        <v>225216000</v>
      </c>
      <c r="J7" s="33">
        <f>(Budgets!I6*1.02*Budgets!$D$23)+(Budgets!I9*1.02*Budgets!$F$23)</f>
        <v>225216000</v>
      </c>
      <c r="K7" s="33">
        <f>(Budgets!J6*1.02*Budgets!$D$23)+(Budgets!J9*1.02*Budgets!$F$23)</f>
        <v>225216000</v>
      </c>
    </row>
    <row r="8" spans="1:11" x14ac:dyDescent="0.6">
      <c r="A8" s="5"/>
      <c r="B8" s="5" t="s">
        <v>189</v>
      </c>
      <c r="C8" s="33">
        <f>175000+C44</f>
        <v>1975000</v>
      </c>
      <c r="D8" s="33">
        <f t="shared" ref="D8:K8" si="0">175000+D44</f>
        <v>2065000</v>
      </c>
      <c r="E8" s="33">
        <f t="shared" si="0"/>
        <v>2159500</v>
      </c>
      <c r="F8" s="33">
        <f t="shared" si="0"/>
        <v>2258725</v>
      </c>
      <c r="G8" s="33">
        <f t="shared" si="0"/>
        <v>2362911.25</v>
      </c>
      <c r="H8" s="33">
        <f t="shared" si="0"/>
        <v>2472306.8125</v>
      </c>
      <c r="I8" s="33">
        <f t="shared" si="0"/>
        <v>2587172.1531250002</v>
      </c>
      <c r="J8" s="33">
        <f t="shared" si="0"/>
        <v>2587172.1531250002</v>
      </c>
      <c r="K8" s="33">
        <f t="shared" si="0"/>
        <v>2587172.1531250002</v>
      </c>
    </row>
    <row r="9" spans="1:11" x14ac:dyDescent="0.6">
      <c r="A9" s="5"/>
      <c r="B9" s="5" t="s">
        <v>299</v>
      </c>
      <c r="C9" s="33">
        <f>C7*7.5%</f>
        <v>11823840</v>
      </c>
      <c r="D9" s="33">
        <f t="shared" ref="D9:K9" si="1">D7*7.5%</f>
        <v>12668400</v>
      </c>
      <c r="E9" s="33">
        <f t="shared" si="1"/>
        <v>13512960</v>
      </c>
      <c r="F9" s="33">
        <f t="shared" si="1"/>
        <v>14357520</v>
      </c>
      <c r="G9" s="33">
        <f t="shared" si="1"/>
        <v>15202080</v>
      </c>
      <c r="H9" s="33">
        <f t="shared" si="1"/>
        <v>16046640</v>
      </c>
      <c r="I9" s="33">
        <f t="shared" si="1"/>
        <v>16891200</v>
      </c>
      <c r="J9" s="33">
        <f t="shared" si="1"/>
        <v>16891200</v>
      </c>
      <c r="K9" s="33">
        <f t="shared" si="1"/>
        <v>16891200</v>
      </c>
    </row>
    <row r="10" spans="1:11" x14ac:dyDescent="0.6">
      <c r="A10" s="5"/>
      <c r="B10" s="5" t="s">
        <v>193</v>
      </c>
      <c r="C10" s="33">
        <f>SUM(C7:C9)</f>
        <v>171450040</v>
      </c>
      <c r="D10" s="33">
        <f t="shared" ref="D10:K10" si="2">SUM(D7:D9)</f>
        <v>183645400</v>
      </c>
      <c r="E10" s="33">
        <f t="shared" si="2"/>
        <v>195845260</v>
      </c>
      <c r="F10" s="33">
        <f t="shared" si="2"/>
        <v>208049845</v>
      </c>
      <c r="G10" s="33">
        <f t="shared" si="2"/>
        <v>220259391.25</v>
      </c>
      <c r="H10" s="33">
        <f t="shared" si="2"/>
        <v>232474146.8125</v>
      </c>
      <c r="I10" s="33">
        <f t="shared" si="2"/>
        <v>244694372.15312499</v>
      </c>
      <c r="J10" s="33">
        <f t="shared" si="2"/>
        <v>244694372.15312499</v>
      </c>
      <c r="K10" s="33">
        <f t="shared" si="2"/>
        <v>244694372.15312499</v>
      </c>
    </row>
    <row r="11" spans="1:11" x14ac:dyDescent="0.6">
      <c r="A11" s="5"/>
      <c r="B11" s="5" t="s">
        <v>194</v>
      </c>
      <c r="C11" s="33">
        <v>0</v>
      </c>
      <c r="D11" s="33">
        <f>C12</f>
        <v>1790880</v>
      </c>
      <c r="E11" s="33">
        <f t="shared" ref="E11:K11" si="3">D12</f>
        <v>3709680</v>
      </c>
      <c r="F11" s="33">
        <f t="shared" si="3"/>
        <v>5756400</v>
      </c>
      <c r="G11" s="33">
        <f t="shared" si="3"/>
        <v>7931040</v>
      </c>
      <c r="H11" s="33">
        <f t="shared" si="3"/>
        <v>5628480</v>
      </c>
      <c r="I11" s="33">
        <f t="shared" si="3"/>
        <v>3198000</v>
      </c>
      <c r="J11" s="33">
        <f t="shared" si="3"/>
        <v>639600</v>
      </c>
      <c r="K11" s="33">
        <f t="shared" si="3"/>
        <v>0</v>
      </c>
    </row>
    <row r="12" spans="1:11" x14ac:dyDescent="0.6">
      <c r="A12" s="5"/>
      <c r="B12" s="5" t="s">
        <v>195</v>
      </c>
      <c r="C12" s="33">
        <f>Budgets!B33+Budgets!B43</f>
        <v>1790880</v>
      </c>
      <c r="D12" s="33">
        <f>Budgets!C33+Budgets!C43</f>
        <v>3709680</v>
      </c>
      <c r="E12" s="33">
        <f>Budgets!D33+Budgets!D43</f>
        <v>5756400</v>
      </c>
      <c r="F12" s="33">
        <f>Budgets!E33+Budgets!E43</f>
        <v>7931040</v>
      </c>
      <c r="G12" s="33">
        <f>Budgets!F33+Budgets!F43</f>
        <v>5628480</v>
      </c>
      <c r="H12" s="33">
        <f>Budgets!G33+Budgets!G43</f>
        <v>3198000</v>
      </c>
      <c r="I12" s="33">
        <f>Budgets!H33+Budgets!H43</f>
        <v>639600</v>
      </c>
      <c r="J12" s="33">
        <f>Budgets!I33+Budgets!I43</f>
        <v>0</v>
      </c>
      <c r="K12" s="33">
        <f>Budgets!J33+Budgets!J43</f>
        <v>0</v>
      </c>
    </row>
    <row r="13" spans="1:11" x14ac:dyDescent="0.6">
      <c r="A13" s="5"/>
      <c r="B13" s="5" t="s">
        <v>197</v>
      </c>
      <c r="C13" s="33">
        <f>C10+C11-C12</f>
        <v>169659160</v>
      </c>
      <c r="D13" s="33">
        <f t="shared" ref="D13:K13" si="4">D10+D11-D12</f>
        <v>181726600</v>
      </c>
      <c r="E13" s="33">
        <f t="shared" si="4"/>
        <v>193798540</v>
      </c>
      <c r="F13" s="33">
        <f t="shared" si="4"/>
        <v>205875205</v>
      </c>
      <c r="G13" s="33">
        <f t="shared" si="4"/>
        <v>222561951.25</v>
      </c>
      <c r="H13" s="33">
        <f t="shared" si="4"/>
        <v>234904626.8125</v>
      </c>
      <c r="I13" s="33">
        <f t="shared" si="4"/>
        <v>247252772.15312499</v>
      </c>
      <c r="J13" s="33">
        <f t="shared" si="4"/>
        <v>245333972.15312499</v>
      </c>
      <c r="K13" s="33">
        <f t="shared" si="4"/>
        <v>244694372.15312499</v>
      </c>
    </row>
    <row r="14" spans="1:11" x14ac:dyDescent="0.6">
      <c r="A14" s="5"/>
      <c r="B14" s="5"/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6">
      <c r="A16" s="5"/>
      <c r="B16" s="5" t="s">
        <v>51</v>
      </c>
      <c r="C16" s="33">
        <f>'Ann 8'!E13</f>
        <v>2260440</v>
      </c>
      <c r="D16" s="33">
        <f>1.05*C16</f>
        <v>2373462</v>
      </c>
      <c r="E16" s="33">
        <f t="shared" ref="E16:K16" si="5">1.05*D16</f>
        <v>2492135.1</v>
      </c>
      <c r="F16" s="33">
        <f t="shared" si="5"/>
        <v>2616741.855</v>
      </c>
      <c r="G16" s="33">
        <f t="shared" si="5"/>
        <v>2747578.9477500003</v>
      </c>
      <c r="H16" s="33">
        <f t="shared" si="5"/>
        <v>2884957.8951375005</v>
      </c>
      <c r="I16" s="33">
        <f t="shared" si="5"/>
        <v>3029205.7898943755</v>
      </c>
      <c r="J16" s="33">
        <f t="shared" si="5"/>
        <v>3180666.0793890944</v>
      </c>
      <c r="K16" s="33">
        <f t="shared" si="5"/>
        <v>3339699.3833585493</v>
      </c>
    </row>
    <row r="17" spans="1:11" x14ac:dyDescent="0.6">
      <c r="A17" s="5"/>
      <c r="B17" s="5" t="s">
        <v>275</v>
      </c>
      <c r="C17" s="33">
        <f>250000+((Budgets!B7+Budgets!B10)*1.25)</f>
        <v>4823800</v>
      </c>
      <c r="D17" s="33">
        <f>250000+((Budgets!C7+Budgets!C10)*1.25)</f>
        <v>5150500</v>
      </c>
      <c r="E17" s="33">
        <f>250000+((Budgets!D7+Budgets!D10)*1.25)</f>
        <v>5477200</v>
      </c>
      <c r="F17" s="33">
        <f>250000+((Budgets!E7+Budgets!E10)*1.25)</f>
        <v>5803900</v>
      </c>
      <c r="G17" s="33">
        <f>250000+((Budgets!F7+Budgets!F10)*1.25)</f>
        <v>6249400</v>
      </c>
      <c r="H17" s="33">
        <f>250000+((Budgets!G7+Budgets!G10)*1.25)</f>
        <v>6582700</v>
      </c>
      <c r="I17" s="33">
        <f>250000+((Budgets!H7+Budgets!H10)*1.25)</f>
        <v>6916000</v>
      </c>
      <c r="J17" s="33">
        <f>250000+((Budgets!I7+Budgets!I10)*1.25)</f>
        <v>6866500</v>
      </c>
      <c r="K17" s="33">
        <f>250000+((Budgets!J7+Budgets!J10)*1.25)</f>
        <v>6850000</v>
      </c>
    </row>
    <row r="18" spans="1:11" x14ac:dyDescent="0.6">
      <c r="A18" s="5"/>
      <c r="B18" s="5" t="s">
        <v>274</v>
      </c>
      <c r="C18" s="33">
        <f>(Budgets!B7+Budgets!B10)*1</f>
        <v>3659040</v>
      </c>
      <c r="D18" s="33">
        <f>(Budgets!C7+Budgets!C10)*1</f>
        <v>3920400</v>
      </c>
      <c r="E18" s="33">
        <f>(Budgets!D7+Budgets!D10)*1</f>
        <v>4181760</v>
      </c>
      <c r="F18" s="33">
        <f>(Budgets!E7+Budgets!E10)*1</f>
        <v>4443120</v>
      </c>
      <c r="G18" s="33">
        <f>(Budgets!F7+Budgets!F10)*1</f>
        <v>4799520</v>
      </c>
      <c r="H18" s="33">
        <f>(Budgets!G7+Budgets!G10)*1</f>
        <v>5066160</v>
      </c>
      <c r="I18" s="33">
        <f>(Budgets!H7+Budgets!H10)*1</f>
        <v>5332800</v>
      </c>
      <c r="J18" s="33">
        <f>(Budgets!I7+Budgets!I10)*1</f>
        <v>5293200</v>
      </c>
      <c r="K18" s="33">
        <f>(Budgets!J7+Budgets!J10)*1</f>
        <v>5280000</v>
      </c>
    </row>
    <row r="19" spans="1:11" x14ac:dyDescent="0.6">
      <c r="A19" s="5"/>
      <c r="B19" s="5" t="s">
        <v>8</v>
      </c>
      <c r="C19" s="33">
        <f t="shared" ref="C19:K19" si="6">SUM(C16:C18)</f>
        <v>10743280</v>
      </c>
      <c r="D19" s="33">
        <f t="shared" si="6"/>
        <v>11444362</v>
      </c>
      <c r="E19" s="33">
        <f t="shared" si="6"/>
        <v>12151095.1</v>
      </c>
      <c r="F19" s="33">
        <f t="shared" si="6"/>
        <v>12863761.855</v>
      </c>
      <c r="G19" s="33">
        <f t="shared" si="6"/>
        <v>13796498.94775</v>
      </c>
      <c r="H19" s="33">
        <f t="shared" si="6"/>
        <v>14533817.8951375</v>
      </c>
      <c r="I19" s="33">
        <f t="shared" si="6"/>
        <v>15278005.789894376</v>
      </c>
      <c r="J19" s="33">
        <f t="shared" si="6"/>
        <v>15340366.079389095</v>
      </c>
      <c r="K19" s="33">
        <f t="shared" si="6"/>
        <v>15469699.383358549</v>
      </c>
    </row>
    <row r="20" spans="1:11" x14ac:dyDescent="0.6">
      <c r="A20" s="5"/>
      <c r="B20" s="5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6">
      <c r="A21" s="5"/>
      <c r="B21" s="5" t="s">
        <v>92</v>
      </c>
      <c r="C21" s="33">
        <f t="shared" ref="C21:K21" si="7">C19+C13</f>
        <v>180402440</v>
      </c>
      <c r="D21" s="33">
        <f t="shared" si="7"/>
        <v>193170962</v>
      </c>
      <c r="E21" s="33">
        <f t="shared" si="7"/>
        <v>205949635.09999999</v>
      </c>
      <c r="F21" s="33">
        <f t="shared" si="7"/>
        <v>218738966.85499999</v>
      </c>
      <c r="G21" s="33">
        <f t="shared" si="7"/>
        <v>236358450.19775</v>
      </c>
      <c r="H21" s="33">
        <f t="shared" si="7"/>
        <v>249438444.70763749</v>
      </c>
      <c r="I21" s="33">
        <f t="shared" si="7"/>
        <v>262530777.94301936</v>
      </c>
      <c r="J21" s="33">
        <f t="shared" si="7"/>
        <v>260674338.23251408</v>
      </c>
      <c r="K21" s="33">
        <f t="shared" si="7"/>
        <v>260164071.53648353</v>
      </c>
    </row>
    <row r="22" spans="1:11" x14ac:dyDescent="0.6">
      <c r="A22" s="5"/>
      <c r="B22" s="5" t="s">
        <v>93</v>
      </c>
      <c r="C22" s="33">
        <f>Budgets!B12</f>
        <v>185068799.99999997</v>
      </c>
      <c r="D22" s="33">
        <f>Budgets!C12</f>
        <v>197769600</v>
      </c>
      <c r="E22" s="33">
        <f>Budgets!D12</f>
        <v>210633696</v>
      </c>
      <c r="F22" s="33">
        <f>Budgets!E12</f>
        <v>223670885.75999999</v>
      </c>
      <c r="G22" s="33">
        <f>Budgets!F12</f>
        <v>240520354.90560001</v>
      </c>
      <c r="H22" s="33">
        <f>Budgets!G12</f>
        <v>254137112.19993603</v>
      </c>
      <c r="I22" s="33">
        <f>Budgets!H12</f>
        <v>267960026.93193218</v>
      </c>
      <c r="J22" s="33">
        <f>Budgets!I12</f>
        <v>270308668.54784811</v>
      </c>
      <c r="K22" s="33">
        <f>Budgets!J12</f>
        <v>273896948.66071904</v>
      </c>
    </row>
    <row r="23" spans="1:11" x14ac:dyDescent="0.6">
      <c r="A23" s="5"/>
      <c r="B23" s="5" t="s">
        <v>94</v>
      </c>
      <c r="C23" s="33">
        <f>C22-C21</f>
        <v>4666359.9999999702</v>
      </c>
      <c r="D23" s="33">
        <f t="shared" ref="D23:K23" si="8">D22-D21</f>
        <v>4598638</v>
      </c>
      <c r="E23" s="33">
        <f t="shared" si="8"/>
        <v>4684060.900000006</v>
      </c>
      <c r="F23" s="33">
        <f t="shared" si="8"/>
        <v>4931918.9050000012</v>
      </c>
      <c r="G23" s="33">
        <f t="shared" si="8"/>
        <v>4161904.7078500092</v>
      </c>
      <c r="H23" s="33">
        <f t="shared" si="8"/>
        <v>4698667.4922985435</v>
      </c>
      <c r="I23" s="33">
        <f t="shared" si="8"/>
        <v>5429248.9889128208</v>
      </c>
      <c r="J23" s="33">
        <f t="shared" si="8"/>
        <v>9634330.315334022</v>
      </c>
      <c r="K23" s="33">
        <f t="shared" si="8"/>
        <v>13732877.124235511</v>
      </c>
    </row>
    <row r="24" spans="1:11" x14ac:dyDescent="0.6">
      <c r="A24" s="5"/>
      <c r="B24" s="5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6">
      <c r="A25" s="5"/>
      <c r="B25" s="5" t="s">
        <v>95</v>
      </c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6">
      <c r="A26" s="5"/>
      <c r="B26" s="5" t="s">
        <v>96</v>
      </c>
      <c r="C26" s="33">
        <f>SUM('Ann 13'!E9:E12)*100000</f>
        <v>344059.61538461538</v>
      </c>
      <c r="D26" s="33">
        <f>SUM('Ann 13'!E13:E16)*100000</f>
        <v>300634.61538461532</v>
      </c>
      <c r="E26" s="33">
        <f>SUM('Ann 13'!E17:E20)*100000</f>
        <v>247188.46153846144</v>
      </c>
      <c r="F26" s="33">
        <f>SUM('Ann 13'!E21:E24)*100000</f>
        <v>193742.30769230757</v>
      </c>
      <c r="G26" s="33">
        <f>SUM('Ann 13'!E25:E28)*100000</f>
        <v>140296.1538461537</v>
      </c>
      <c r="H26" s="33">
        <f>SUM('Ann 13'!E29:E32)*100000</f>
        <v>86849.999999999825</v>
      </c>
      <c r="I26" s="33">
        <f>SUM('Ann 13'!E33:E36)*100000</f>
        <v>33403.846153845981</v>
      </c>
      <c r="J26" s="33">
        <v>0</v>
      </c>
      <c r="K26" s="33">
        <v>0</v>
      </c>
    </row>
    <row r="27" spans="1:11" x14ac:dyDescent="0.6">
      <c r="A27" s="5"/>
      <c r="B27" s="5" t="s">
        <v>172</v>
      </c>
      <c r="C27" s="33">
        <f>'Ann 1'!$C$25*100000*10%</f>
        <v>150000</v>
      </c>
      <c r="D27" s="33">
        <f>'Ann 1'!$C$25*100000*10%</f>
        <v>150000</v>
      </c>
      <c r="E27" s="33">
        <f>'Ann 1'!$C$25*100000*10%</f>
        <v>150000</v>
      </c>
      <c r="F27" s="33">
        <f>'Ann 1'!$C$25*100000*10%</f>
        <v>150000</v>
      </c>
      <c r="G27" s="33">
        <f>'Ann 1'!$C$25*100000*10%</f>
        <v>150000</v>
      </c>
      <c r="H27" s="33">
        <f>'Ann 1'!$C$25*100000*10%</f>
        <v>150000</v>
      </c>
      <c r="I27" s="33">
        <f>'Ann 1'!$C$25*100000*10%</f>
        <v>150000</v>
      </c>
      <c r="J27" s="33">
        <f>'Ann 1'!$C$25*100000*10%</f>
        <v>150000</v>
      </c>
      <c r="K27" s="33">
        <f>'Ann 1'!$C$25*100000*10%</f>
        <v>150000</v>
      </c>
    </row>
    <row r="28" spans="1:11" x14ac:dyDescent="0.6">
      <c r="A28" s="5"/>
      <c r="B28" s="34" t="s">
        <v>106</v>
      </c>
      <c r="C28" s="33">
        <f>SUM(C26:C27)</f>
        <v>494059.61538461538</v>
      </c>
      <c r="D28" s="33">
        <f t="shared" ref="D28:K28" si="9">SUM(D26:D27)</f>
        <v>450634.61538461532</v>
      </c>
      <c r="E28" s="33">
        <f t="shared" si="9"/>
        <v>397188.46153846144</v>
      </c>
      <c r="F28" s="33">
        <f t="shared" si="9"/>
        <v>343742.30769230757</v>
      </c>
      <c r="G28" s="33">
        <f t="shared" si="9"/>
        <v>290296.1538461537</v>
      </c>
      <c r="H28" s="33">
        <f t="shared" si="9"/>
        <v>236849.99999999983</v>
      </c>
      <c r="I28" s="33">
        <f t="shared" si="9"/>
        <v>183403.84615384598</v>
      </c>
      <c r="J28" s="33">
        <f t="shared" si="9"/>
        <v>150000</v>
      </c>
      <c r="K28" s="33">
        <f t="shared" si="9"/>
        <v>150000</v>
      </c>
    </row>
    <row r="29" spans="1:11" x14ac:dyDescent="0.6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6">
      <c r="A30" s="5"/>
      <c r="B30" s="5" t="s">
        <v>107</v>
      </c>
      <c r="C30" s="33">
        <f t="shared" ref="C30:K30" si="10">C23-C28</f>
        <v>4172300.3846153547</v>
      </c>
      <c r="D30" s="33">
        <f t="shared" si="10"/>
        <v>4148003.3846153845</v>
      </c>
      <c r="E30" s="33">
        <f t="shared" si="10"/>
        <v>4286872.4384615449</v>
      </c>
      <c r="F30" s="33">
        <f t="shared" si="10"/>
        <v>4588176.5973076932</v>
      </c>
      <c r="G30" s="33">
        <f t="shared" si="10"/>
        <v>3871608.5540038557</v>
      </c>
      <c r="H30" s="33">
        <f t="shared" si="10"/>
        <v>4461817.4922985435</v>
      </c>
      <c r="I30" s="33">
        <f t="shared" si="10"/>
        <v>5245845.1427589748</v>
      </c>
      <c r="J30" s="33">
        <f t="shared" si="10"/>
        <v>9484330.315334022</v>
      </c>
      <c r="K30" s="33">
        <f t="shared" si="10"/>
        <v>13582877.124235511</v>
      </c>
    </row>
    <row r="31" spans="1:11" x14ac:dyDescent="0.6">
      <c r="A31" s="5"/>
      <c r="B31" s="5" t="s">
        <v>200</v>
      </c>
      <c r="C31" s="33">
        <f>'Ann 1'!C35*100000</f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1" x14ac:dyDescent="0.6">
      <c r="A32" s="5"/>
      <c r="B32" s="34" t="s">
        <v>108</v>
      </c>
      <c r="C32" s="33">
        <f>'Ann 9'!C12+'Ann 9'!D12+'Ann 9'!E12</f>
        <v>910000</v>
      </c>
      <c r="D32" s="33">
        <f>'Ann 9'!C13+'Ann 9'!D13+'Ann 9'!E13</f>
        <v>781500</v>
      </c>
      <c r="E32" s="33">
        <f>'Ann 9'!C14+'Ann 9'!D14+'Ann 9'!E14</f>
        <v>671475</v>
      </c>
      <c r="F32" s="33">
        <f>'Ann 9'!C15+'Ann 9'!D15+'Ann 9'!E15</f>
        <v>577233.75</v>
      </c>
      <c r="G32" s="33">
        <f>'Ann 9'!C16+'Ann 9'!D16+'Ann 9'!E16</f>
        <v>496480.6875</v>
      </c>
      <c r="H32" s="33">
        <f>'Ann 9'!C17+'Ann 9'!D17+'Ann 9'!E17</f>
        <v>427257.38437500002</v>
      </c>
      <c r="I32" s="33">
        <f>'Ann 9'!C18+'Ann 9'!D18+'Ann 9'!E18</f>
        <v>367892.69671875</v>
      </c>
      <c r="J32" s="33">
        <f>'Ann 9'!C19+'Ann 9'!D19+'Ann 9'!E19</f>
        <v>316960.32021093747</v>
      </c>
      <c r="K32" s="33">
        <f>'Ann 9'!C20+'Ann 9'!D20+'Ann 9'!E20</f>
        <v>273242.64737929689</v>
      </c>
    </row>
    <row r="33" spans="1:11" x14ac:dyDescent="0.6">
      <c r="A33" s="5"/>
      <c r="B33" s="34" t="s">
        <v>109</v>
      </c>
      <c r="C33" s="33">
        <f t="shared" ref="C33:K33" si="11">C30-C32-C31</f>
        <v>3262300.3846153547</v>
      </c>
      <c r="D33" s="33">
        <f t="shared" si="11"/>
        <v>3366503.3846153845</v>
      </c>
      <c r="E33" s="33">
        <f t="shared" si="11"/>
        <v>3615397.4384615449</v>
      </c>
      <c r="F33" s="33">
        <f t="shared" si="11"/>
        <v>4010942.8473076932</v>
      </c>
      <c r="G33" s="33">
        <f t="shared" si="11"/>
        <v>3375127.8665038557</v>
      </c>
      <c r="H33" s="33">
        <f t="shared" si="11"/>
        <v>4034560.1079235435</v>
      </c>
      <c r="I33" s="33">
        <f t="shared" si="11"/>
        <v>4877952.4460402252</v>
      </c>
      <c r="J33" s="33">
        <f t="shared" si="11"/>
        <v>9167369.9951230846</v>
      </c>
      <c r="K33" s="33">
        <f t="shared" si="11"/>
        <v>13309634.476856213</v>
      </c>
    </row>
    <row r="34" spans="1:11" x14ac:dyDescent="0.6">
      <c r="A34" s="5"/>
      <c r="B34" s="34" t="s">
        <v>110</v>
      </c>
      <c r="C34" s="33">
        <f>'Ann 10'!B14</f>
        <v>978690.11538460641</v>
      </c>
      <c r="D34" s="33">
        <f>'Ann 10'!C14</f>
        <v>1009951.0153846153</v>
      </c>
      <c r="E34" s="33">
        <f>'Ann 10'!D14</f>
        <v>1084619.2315384634</v>
      </c>
      <c r="F34" s="33">
        <f>'Ann 10'!E14</f>
        <v>1203282.8541923079</v>
      </c>
      <c r="G34" s="33">
        <f>'Ann 10'!F14</f>
        <v>1012538.3599511567</v>
      </c>
      <c r="H34" s="33">
        <f>'Ann 10'!G14</f>
        <v>1210368.0323770631</v>
      </c>
      <c r="I34" s="33">
        <f>'Ann 10'!H14</f>
        <v>1463385.7338120674</v>
      </c>
      <c r="J34" s="33">
        <f>'Ann 10'!I14</f>
        <v>2750210.9985369253</v>
      </c>
      <c r="K34" s="33">
        <f>'Ann 10'!J14</f>
        <v>3992890.3430568636</v>
      </c>
    </row>
    <row r="35" spans="1:11" x14ac:dyDescent="0.6">
      <c r="A35" s="5"/>
      <c r="B35" s="34" t="s">
        <v>111</v>
      </c>
      <c r="C35" s="33">
        <f>C33-C34</f>
        <v>2283610.2692307485</v>
      </c>
      <c r="D35" s="33">
        <f>D33-D34</f>
        <v>2356552.3692307691</v>
      </c>
      <c r="E35" s="33">
        <f t="shared" ref="E35:K35" si="12">E33-E34</f>
        <v>2530778.2069230815</v>
      </c>
      <c r="F35" s="33">
        <f t="shared" si="12"/>
        <v>2807659.9931153851</v>
      </c>
      <c r="G35" s="33">
        <f t="shared" si="12"/>
        <v>2362589.506552699</v>
      </c>
      <c r="H35" s="33">
        <f t="shared" si="12"/>
        <v>2824192.0755464807</v>
      </c>
      <c r="I35" s="33">
        <f t="shared" si="12"/>
        <v>3414566.7122281576</v>
      </c>
      <c r="J35" s="33">
        <f t="shared" si="12"/>
        <v>6417158.9965861589</v>
      </c>
      <c r="K35" s="33">
        <f t="shared" si="12"/>
        <v>9316744.1337993499</v>
      </c>
    </row>
    <row r="36" spans="1:11" x14ac:dyDescent="0.6">
      <c r="A36" s="5"/>
      <c r="B36" s="34" t="s">
        <v>253</v>
      </c>
      <c r="C36" s="33">
        <f>C35*80%</f>
        <v>1826888.2153845988</v>
      </c>
      <c r="D36" s="33">
        <f t="shared" ref="D36:K36" si="13">D35*80%</f>
        <v>1885241.8953846153</v>
      </c>
      <c r="E36" s="33">
        <f t="shared" si="13"/>
        <v>2024622.5655384653</v>
      </c>
      <c r="F36" s="33">
        <f t="shared" si="13"/>
        <v>2246127.9944923082</v>
      </c>
      <c r="G36" s="33">
        <f t="shared" si="13"/>
        <v>1890071.6052421592</v>
      </c>
      <c r="H36" s="33">
        <f t="shared" si="13"/>
        <v>2259353.6604371849</v>
      </c>
      <c r="I36" s="33">
        <f t="shared" si="13"/>
        <v>2731653.369782526</v>
      </c>
      <c r="J36" s="33">
        <f t="shared" si="13"/>
        <v>5133727.1972689275</v>
      </c>
      <c r="K36" s="33">
        <f t="shared" si="13"/>
        <v>7453395.3070394807</v>
      </c>
    </row>
    <row r="37" spans="1:11" x14ac:dyDescent="0.6">
      <c r="A37" s="5"/>
      <c r="B37" s="34" t="s">
        <v>121</v>
      </c>
      <c r="C37" s="33">
        <f>C35-C36</f>
        <v>456722.05384614971</v>
      </c>
      <c r="D37" s="33">
        <f t="shared" ref="D37:K37" si="14">D35-D36</f>
        <v>471310.47384615382</v>
      </c>
      <c r="E37" s="33">
        <f t="shared" si="14"/>
        <v>506155.64138461626</v>
      </c>
      <c r="F37" s="33">
        <f t="shared" si="14"/>
        <v>561531.99862307683</v>
      </c>
      <c r="G37" s="33">
        <f t="shared" si="14"/>
        <v>472517.9013105398</v>
      </c>
      <c r="H37" s="33">
        <f t="shared" si="14"/>
        <v>564838.41510929586</v>
      </c>
      <c r="I37" s="33">
        <f t="shared" si="14"/>
        <v>682913.34244563151</v>
      </c>
      <c r="J37" s="33">
        <f t="shared" si="14"/>
        <v>1283431.7993172314</v>
      </c>
      <c r="K37" s="33">
        <f t="shared" si="14"/>
        <v>1863348.8267598692</v>
      </c>
    </row>
    <row r="39" spans="1:11" x14ac:dyDescent="0.6">
      <c r="A39" s="4" t="s">
        <v>257</v>
      </c>
    </row>
    <row r="40" spans="1:11" x14ac:dyDescent="0.6">
      <c r="A40" s="4" t="s">
        <v>191</v>
      </c>
    </row>
    <row r="41" spans="1:11" x14ac:dyDescent="0.6">
      <c r="A41" s="4" t="s">
        <v>300</v>
      </c>
    </row>
    <row r="42" spans="1:11" x14ac:dyDescent="0.6">
      <c r="A42" s="4" t="s">
        <v>192</v>
      </c>
    </row>
    <row r="43" spans="1:11" x14ac:dyDescent="0.6">
      <c r="B43" s="4" t="s">
        <v>190</v>
      </c>
      <c r="C43" s="4">
        <v>150000</v>
      </c>
      <c r="D43" s="4">
        <f>C43*1.05</f>
        <v>157500</v>
      </c>
      <c r="E43" s="4">
        <f t="shared" ref="E43:I43" si="15">D43*1.05</f>
        <v>165375</v>
      </c>
      <c r="F43" s="4">
        <f t="shared" si="15"/>
        <v>173643.75</v>
      </c>
      <c r="G43" s="4">
        <f t="shared" si="15"/>
        <v>182325.9375</v>
      </c>
      <c r="H43" s="4">
        <f t="shared" si="15"/>
        <v>191442.234375</v>
      </c>
      <c r="I43" s="4">
        <f t="shared" si="15"/>
        <v>201014.34609375001</v>
      </c>
      <c r="J43" s="4">
        <f>I43</f>
        <v>201014.34609375001</v>
      </c>
      <c r="K43" s="4">
        <f>J43</f>
        <v>201014.34609375001</v>
      </c>
    </row>
    <row r="44" spans="1:11" x14ac:dyDescent="0.6">
      <c r="B44" s="4" t="s">
        <v>72</v>
      </c>
      <c r="C44" s="4">
        <f>C43*12</f>
        <v>1800000</v>
      </c>
      <c r="D44" s="4">
        <f t="shared" ref="D44:K44" si="16">D43*12</f>
        <v>1890000</v>
      </c>
      <c r="E44" s="4">
        <f t="shared" si="16"/>
        <v>1984500</v>
      </c>
      <c r="F44" s="4">
        <f t="shared" si="16"/>
        <v>2083725</v>
      </c>
      <c r="G44" s="4">
        <f t="shared" si="16"/>
        <v>2187911.25</v>
      </c>
      <c r="H44" s="4">
        <f t="shared" si="16"/>
        <v>2297306.8125</v>
      </c>
      <c r="I44" s="4">
        <f t="shared" si="16"/>
        <v>2412172.1531250002</v>
      </c>
      <c r="J44" s="4">
        <f t="shared" si="16"/>
        <v>2412172.1531250002</v>
      </c>
      <c r="K44" s="4">
        <f t="shared" si="16"/>
        <v>2412172.1531250002</v>
      </c>
    </row>
    <row r="45" spans="1:11" x14ac:dyDescent="0.6">
      <c r="A45" s="4" t="s">
        <v>256</v>
      </c>
    </row>
  </sheetData>
  <mergeCells count="3">
    <mergeCell ref="C3:K3"/>
    <mergeCell ref="A3:A4"/>
    <mergeCell ref="B3:B4"/>
  </mergeCells>
  <pageMargins left="0.7" right="0.7" top="0.75" bottom="0.75" header="0.3" footer="0.3"/>
  <pageSetup scale="59" orientation="landscape" r:id="rId1"/>
  <ignoredErrors>
    <ignoredError sqref="D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C10C-E414-4E29-98C1-5FAEC5C52CAE}">
  <sheetPr>
    <pageSetUpPr fitToPage="1"/>
  </sheetPr>
  <dimension ref="A1:M55"/>
  <sheetViews>
    <sheetView topLeftCell="A34" workbookViewId="0">
      <selection activeCell="F52" sqref="F52"/>
    </sheetView>
  </sheetViews>
  <sheetFormatPr defaultRowHeight="17" x14ac:dyDescent="0.6"/>
  <cols>
    <col min="1" max="1" width="8.7265625" style="4"/>
    <col min="2" max="2" width="28.26953125" style="4" customWidth="1"/>
    <col min="3" max="3" width="15.6328125" style="4" bestFit="1" customWidth="1"/>
    <col min="4" max="10" width="13.7265625" style="4" bestFit="1" customWidth="1"/>
    <col min="11" max="11" width="13.6328125" style="4" bestFit="1" customWidth="1"/>
    <col min="12" max="12" width="10" style="4" bestFit="1" customWidth="1"/>
    <col min="13" max="16384" width="8.7265625" style="4"/>
  </cols>
  <sheetData>
    <row r="1" spans="1:11" x14ac:dyDescent="0.6">
      <c r="A1" s="3" t="s">
        <v>122</v>
      </c>
    </row>
    <row r="3" spans="1:11" x14ac:dyDescent="0.6">
      <c r="A3" s="4" t="s">
        <v>123</v>
      </c>
    </row>
    <row r="5" spans="1:11" x14ac:dyDescent="0.6">
      <c r="A5" s="119" t="s">
        <v>37</v>
      </c>
      <c r="B5" s="119" t="s">
        <v>38</v>
      </c>
      <c r="C5" s="118" t="s">
        <v>48</v>
      </c>
      <c r="D5" s="118"/>
      <c r="E5" s="118"/>
      <c r="F5" s="118"/>
      <c r="G5" s="118"/>
      <c r="H5" s="118"/>
      <c r="I5" s="118"/>
      <c r="J5" s="118"/>
      <c r="K5" s="118"/>
    </row>
    <row r="6" spans="1:11" x14ac:dyDescent="0.6">
      <c r="A6" s="119"/>
      <c r="B6" s="119"/>
      <c r="C6" s="35" t="s">
        <v>39</v>
      </c>
      <c r="D6" s="35" t="s">
        <v>40</v>
      </c>
      <c r="E6" s="35" t="s">
        <v>41</v>
      </c>
      <c r="F6" s="35" t="s">
        <v>42</v>
      </c>
      <c r="G6" s="35" t="s">
        <v>43</v>
      </c>
      <c r="H6" s="35" t="s">
        <v>44</v>
      </c>
      <c r="I6" s="35" t="s">
        <v>45</v>
      </c>
      <c r="J6" s="35" t="s">
        <v>46</v>
      </c>
      <c r="K6" s="35" t="s">
        <v>47</v>
      </c>
    </row>
    <row r="7" spans="1:11" x14ac:dyDescent="0.6">
      <c r="A7" s="36" t="s">
        <v>157</v>
      </c>
      <c r="B7" s="37" t="s">
        <v>124</v>
      </c>
      <c r="C7" s="38"/>
      <c r="D7" s="38"/>
      <c r="E7" s="39"/>
      <c r="F7" s="39"/>
      <c r="G7" s="39"/>
      <c r="H7" s="39"/>
      <c r="I7" s="39"/>
      <c r="J7" s="39"/>
      <c r="K7" s="39"/>
    </row>
    <row r="8" spans="1:11" x14ac:dyDescent="0.6">
      <c r="A8" s="24">
        <v>1</v>
      </c>
      <c r="B8" s="25" t="s">
        <v>125</v>
      </c>
      <c r="C8" s="9"/>
      <c r="D8" s="9"/>
      <c r="E8" s="10"/>
      <c r="F8" s="10"/>
      <c r="G8" s="10"/>
      <c r="H8" s="10"/>
      <c r="I8" s="10"/>
      <c r="J8" s="10"/>
      <c r="K8" s="10"/>
    </row>
    <row r="9" spans="1:11" x14ac:dyDescent="0.6">
      <c r="A9" s="24"/>
      <c r="B9" s="25" t="s">
        <v>126</v>
      </c>
      <c r="C9" s="40">
        <f>'Ann 9'!C6+'Ann 9'!D6+'Ann 9'!E6</f>
        <v>6600000</v>
      </c>
      <c r="D9" s="41">
        <f>C11</f>
        <v>5690000</v>
      </c>
      <c r="E9" s="13">
        <f t="shared" ref="E9:K9" si="0">D11</f>
        <v>4908500</v>
      </c>
      <c r="F9" s="13">
        <f t="shared" si="0"/>
        <v>4237025</v>
      </c>
      <c r="G9" s="13">
        <f t="shared" si="0"/>
        <v>3659791.25</v>
      </c>
      <c r="H9" s="13">
        <f t="shared" si="0"/>
        <v>3163310.5625</v>
      </c>
      <c r="I9" s="13">
        <f t="shared" si="0"/>
        <v>2736053.1781250001</v>
      </c>
      <c r="J9" s="13">
        <f t="shared" si="0"/>
        <v>2368160.48140625</v>
      </c>
      <c r="K9" s="13">
        <f t="shared" si="0"/>
        <v>2051200.1611953126</v>
      </c>
    </row>
    <row r="10" spans="1:11" x14ac:dyDescent="0.6">
      <c r="A10" s="24"/>
      <c r="B10" s="25" t="s">
        <v>127</v>
      </c>
      <c r="C10" s="40">
        <f>'Ann 9'!C12+'Ann 9'!D12+'Ann 9'!E12</f>
        <v>910000</v>
      </c>
      <c r="D10" s="41">
        <f>'Ann 9'!C13+'Ann 9'!D13+'Ann 9'!E13</f>
        <v>781500</v>
      </c>
      <c r="E10" s="13">
        <f>'Ann 9'!C14+'Ann 9'!D14+'Ann 9'!E14</f>
        <v>671475</v>
      </c>
      <c r="F10" s="13">
        <f>'Ann 9'!C15+'Ann 9'!D15+'Ann 9'!E15</f>
        <v>577233.75</v>
      </c>
      <c r="G10" s="13">
        <f>'Ann 9'!C16+'Ann 9'!D16+'Ann 9'!E16</f>
        <v>496480.6875</v>
      </c>
      <c r="H10" s="13">
        <f>'Ann 9'!C17+'Ann 9'!D17+'Ann 9'!E17</f>
        <v>427257.38437500002</v>
      </c>
      <c r="I10" s="13">
        <f>+'Ann 9'!C18+'Ann 9'!D18+'Ann 9'!E18</f>
        <v>367892.69671875</v>
      </c>
      <c r="J10" s="13">
        <f>'Ann 9'!C19+'Ann 9'!D19+'Ann 9'!E19</f>
        <v>316960.32021093747</v>
      </c>
      <c r="K10" s="13">
        <f>+'Ann 9'!C20+'Ann 9'!D20+'Ann 9'!E20</f>
        <v>273242.64737929689</v>
      </c>
    </row>
    <row r="11" spans="1:11" x14ac:dyDescent="0.6">
      <c r="A11" s="24"/>
      <c r="B11" s="25" t="s">
        <v>128</v>
      </c>
      <c r="C11" s="40">
        <f>C9-C10</f>
        <v>5690000</v>
      </c>
      <c r="D11" s="41">
        <f>D9-D10</f>
        <v>4908500</v>
      </c>
      <c r="E11" s="13">
        <f t="shared" ref="E11:K11" si="1">E9-E10</f>
        <v>4237025</v>
      </c>
      <c r="F11" s="13">
        <f t="shared" si="1"/>
        <v>3659791.25</v>
      </c>
      <c r="G11" s="13">
        <f t="shared" si="1"/>
        <v>3163310.5625</v>
      </c>
      <c r="H11" s="13">
        <f t="shared" si="1"/>
        <v>2736053.1781250001</v>
      </c>
      <c r="I11" s="13">
        <f t="shared" si="1"/>
        <v>2368160.48140625</v>
      </c>
      <c r="J11" s="13">
        <f t="shared" si="1"/>
        <v>2051200.1611953126</v>
      </c>
      <c r="K11" s="13">
        <f t="shared" si="1"/>
        <v>1777957.5138160158</v>
      </c>
    </row>
    <row r="12" spans="1:11" x14ac:dyDescent="0.6">
      <c r="A12" s="24">
        <v>2</v>
      </c>
      <c r="B12" s="42" t="s">
        <v>185</v>
      </c>
      <c r="C12" s="40">
        <f>'Ann 4'!C12</f>
        <v>1790880</v>
      </c>
      <c r="D12" s="40">
        <f>'Ann 4'!D12</f>
        <v>3709680</v>
      </c>
      <c r="E12" s="40">
        <f>'Ann 4'!E12</f>
        <v>5756400</v>
      </c>
      <c r="F12" s="40">
        <f>'Ann 4'!F12</f>
        <v>7931040</v>
      </c>
      <c r="G12" s="40">
        <f>'Ann 4'!G12</f>
        <v>5628480</v>
      </c>
      <c r="H12" s="40">
        <f>'Ann 4'!H12</f>
        <v>3198000</v>
      </c>
      <c r="I12" s="40">
        <f>'Ann 4'!I12</f>
        <v>639600</v>
      </c>
      <c r="J12" s="40">
        <f>'Ann 4'!J12</f>
        <v>0</v>
      </c>
      <c r="K12" s="40">
        <f>'Ann 4'!K12</f>
        <v>0</v>
      </c>
    </row>
    <row r="13" spans="1:11" x14ac:dyDescent="0.6">
      <c r="A13" s="24">
        <v>3</v>
      </c>
      <c r="B13" s="25" t="s">
        <v>129</v>
      </c>
      <c r="C13" s="40">
        <f>'Ann 4'!C22*30/360</f>
        <v>15422399.999999998</v>
      </c>
      <c r="D13" s="40">
        <f>'Ann 4'!D22*30/360</f>
        <v>16480800</v>
      </c>
      <c r="E13" s="40">
        <f>'Ann 4'!E22*30/360</f>
        <v>17552808</v>
      </c>
      <c r="F13" s="40">
        <f>'Ann 4'!F22*30/360</f>
        <v>18639240.479999997</v>
      </c>
      <c r="G13" s="40">
        <f>'Ann 4'!G22*30/360</f>
        <v>20043362.908800002</v>
      </c>
      <c r="H13" s="40">
        <f>'Ann 4'!H22*30/360</f>
        <v>21178092.683328003</v>
      </c>
      <c r="I13" s="40">
        <f>'Ann 4'!I22*30/360</f>
        <v>22330002.244327683</v>
      </c>
      <c r="J13" s="40">
        <f>'Ann 4'!J22*30/360</f>
        <v>22525722.378987342</v>
      </c>
      <c r="K13" s="40">
        <f>'Ann 4'!K22*30/360</f>
        <v>22824745.721726589</v>
      </c>
    </row>
    <row r="14" spans="1:11" x14ac:dyDescent="0.6">
      <c r="A14" s="24">
        <v>4</v>
      </c>
      <c r="B14" s="25" t="s">
        <v>130</v>
      </c>
      <c r="C14" s="43">
        <f>'Ann 14'!C19</f>
        <v>11483257.438461533</v>
      </c>
      <c r="D14" s="43">
        <f>'Ann 14'!D19</f>
        <v>10744898.681538466</v>
      </c>
      <c r="E14" s="43">
        <f>'Ann 14'!E19</f>
        <v>9789832.0921538472</v>
      </c>
      <c r="F14" s="43">
        <f>'Ann 14'!F19</f>
        <v>8653556.1300077047</v>
      </c>
      <c r="G14" s="43">
        <f>'Ann 14'!G19</f>
        <v>11507023.059249006</v>
      </c>
      <c r="H14" s="43">
        <f>'Ann 14'!H19</f>
        <v>14780899.853436081</v>
      </c>
      <c r="I14" s="43">
        <f>'Ann 14'!I19</f>
        <v>18224227.100831546</v>
      </c>
      <c r="J14" s="43">
        <f>'Ann 14'!J19</f>
        <v>20268499.085700057</v>
      </c>
      <c r="K14" s="43">
        <f>'Ann 14'!K19</f>
        <v>22106067.217099946</v>
      </c>
    </row>
    <row r="15" spans="1:11" x14ac:dyDescent="0.6">
      <c r="A15" s="24"/>
      <c r="B15" s="25" t="s">
        <v>138</v>
      </c>
      <c r="C15" s="40">
        <f t="shared" ref="C15:K15" si="2">SUM(C11:C14)</f>
        <v>34386537.438461535</v>
      </c>
      <c r="D15" s="40">
        <f t="shared" si="2"/>
        <v>35843878.681538463</v>
      </c>
      <c r="E15" s="44">
        <f t="shared" si="2"/>
        <v>37336065.092153847</v>
      </c>
      <c r="F15" s="44">
        <f t="shared" si="2"/>
        <v>38883627.860007703</v>
      </c>
      <c r="G15" s="44">
        <f t="shared" si="2"/>
        <v>40342176.530549005</v>
      </c>
      <c r="H15" s="44">
        <f t="shared" si="2"/>
        <v>41893045.714889087</v>
      </c>
      <c r="I15" s="44">
        <f t="shared" si="2"/>
        <v>43561989.826565474</v>
      </c>
      <c r="J15" s="44">
        <f t="shared" si="2"/>
        <v>44845421.625882715</v>
      </c>
      <c r="K15" s="44">
        <f t="shared" si="2"/>
        <v>46708770.452642545</v>
      </c>
    </row>
    <row r="16" spans="1:11" x14ac:dyDescent="0.6">
      <c r="A16" s="24"/>
      <c r="B16" s="25"/>
      <c r="C16" s="40"/>
      <c r="D16" s="40"/>
      <c r="E16" s="44"/>
      <c r="F16" s="44"/>
      <c r="G16" s="44"/>
      <c r="H16" s="44"/>
      <c r="I16" s="44"/>
      <c r="J16" s="44"/>
      <c r="K16" s="44"/>
    </row>
    <row r="17" spans="1:13" x14ac:dyDescent="0.6">
      <c r="A17" s="24" t="s">
        <v>158</v>
      </c>
      <c r="B17" s="45" t="s">
        <v>131</v>
      </c>
      <c r="C17" s="9"/>
      <c r="D17" s="9"/>
      <c r="E17" s="10"/>
      <c r="F17" s="10"/>
      <c r="G17" s="10"/>
      <c r="H17" s="10"/>
      <c r="I17" s="10"/>
      <c r="J17" s="10"/>
      <c r="K17" s="10"/>
    </row>
    <row r="18" spans="1:13" x14ac:dyDescent="0.6">
      <c r="A18" s="24">
        <v>1</v>
      </c>
      <c r="B18" s="25" t="s">
        <v>132</v>
      </c>
      <c r="C18" s="43">
        <f>'Ann 2'!C4*100000</f>
        <v>810000</v>
      </c>
      <c r="D18" s="43">
        <f>C21</f>
        <v>1266722.0538461497</v>
      </c>
      <c r="E18" s="46">
        <f t="shared" ref="E18:K18" si="3">D21</f>
        <v>1738032.5276923035</v>
      </c>
      <c r="F18" s="46">
        <f t="shared" si="3"/>
        <v>2244188.1690769196</v>
      </c>
      <c r="G18" s="46">
        <f t="shared" si="3"/>
        <v>2805720.1676999964</v>
      </c>
      <c r="H18" s="46">
        <f t="shared" si="3"/>
        <v>3278238.0690105362</v>
      </c>
      <c r="I18" s="46">
        <f t="shared" si="3"/>
        <v>3843076.4841198321</v>
      </c>
      <c r="J18" s="46">
        <f t="shared" si="3"/>
        <v>4525989.8265654631</v>
      </c>
      <c r="K18" s="46">
        <f t="shared" si="3"/>
        <v>5809421.6258826945</v>
      </c>
    </row>
    <row r="19" spans="1:13" x14ac:dyDescent="0.6">
      <c r="A19" s="24"/>
      <c r="B19" s="25" t="s">
        <v>133</v>
      </c>
      <c r="C19" s="43">
        <f>'Ann 4'!C37</f>
        <v>456722.05384614971</v>
      </c>
      <c r="D19" s="43">
        <f>'Ann 4'!D37</f>
        <v>471310.47384615382</v>
      </c>
      <c r="E19" s="46">
        <f>'Ann 4'!E37</f>
        <v>506155.64138461626</v>
      </c>
      <c r="F19" s="46">
        <f>'Ann 4'!F37</f>
        <v>561531.99862307683</v>
      </c>
      <c r="G19" s="46">
        <f>'Ann 4'!G37</f>
        <v>472517.9013105398</v>
      </c>
      <c r="H19" s="46">
        <f>'Ann 4'!H37</f>
        <v>564838.41510929586</v>
      </c>
      <c r="I19" s="46">
        <f>'Ann 4'!I37</f>
        <v>682913.34244563151</v>
      </c>
      <c r="J19" s="46">
        <f>'Ann 4'!J37</f>
        <v>1283431.7993172314</v>
      </c>
      <c r="K19" s="46">
        <f>'Ann 4'!K37</f>
        <v>1863348.8267598692</v>
      </c>
    </row>
    <row r="20" spans="1:13" x14ac:dyDescent="0.6">
      <c r="A20" s="24"/>
      <c r="B20" s="25" t="s">
        <v>134</v>
      </c>
      <c r="C20" s="43">
        <v>0</v>
      </c>
      <c r="D20" s="43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3" x14ac:dyDescent="0.6">
      <c r="A21" s="24"/>
      <c r="B21" s="25" t="s">
        <v>135</v>
      </c>
      <c r="C21" s="43">
        <f>C18+C19</f>
        <v>1266722.0538461497</v>
      </c>
      <c r="D21" s="43">
        <f t="shared" ref="D21:K21" si="4">D18+D19</f>
        <v>1738032.5276923035</v>
      </c>
      <c r="E21" s="46">
        <f t="shared" si="4"/>
        <v>2244188.1690769196</v>
      </c>
      <c r="F21" s="46">
        <f t="shared" si="4"/>
        <v>2805720.1676999964</v>
      </c>
      <c r="G21" s="46">
        <f t="shared" si="4"/>
        <v>3278238.0690105362</v>
      </c>
      <c r="H21" s="46">
        <f t="shared" si="4"/>
        <v>3843076.4841198321</v>
      </c>
      <c r="I21" s="46">
        <f t="shared" si="4"/>
        <v>4525989.8265654631</v>
      </c>
      <c r="J21" s="46">
        <f t="shared" si="4"/>
        <v>5809421.6258826945</v>
      </c>
      <c r="K21" s="46">
        <f t="shared" si="4"/>
        <v>7672770.4526425637</v>
      </c>
    </row>
    <row r="22" spans="1:13" x14ac:dyDescent="0.6">
      <c r="A22" s="24">
        <v>2</v>
      </c>
      <c r="B22" s="25" t="s">
        <v>136</v>
      </c>
      <c r="C22" s="43">
        <f>'Ann 13'!C13*100000</f>
        <v>5344615.384615385</v>
      </c>
      <c r="D22" s="43">
        <f>'Ann 13'!C17*100000</f>
        <v>4453846.1538461531</v>
      </c>
      <c r="E22" s="43">
        <f>'Ann 13'!C21*100000</f>
        <v>3563076.9230769216</v>
      </c>
      <c r="F22" s="43">
        <f>'Ann 13'!C25*100000</f>
        <v>2672307.6923076902</v>
      </c>
      <c r="G22" s="46">
        <f>('Ann 13'!C28-'Ann 13'!D28)*100000</f>
        <v>1781538.4615384587</v>
      </c>
      <c r="H22" s="46">
        <f>('Ann 13'!C32-'Ann 13'!D32)*100000</f>
        <v>890769.23076922796</v>
      </c>
      <c r="I22" s="46">
        <v>0</v>
      </c>
      <c r="J22" s="46">
        <v>0</v>
      </c>
      <c r="K22" s="46">
        <v>0</v>
      </c>
    </row>
    <row r="23" spans="1:13" x14ac:dyDescent="0.6">
      <c r="A23" s="24">
        <v>3</v>
      </c>
      <c r="B23" s="42" t="s">
        <v>171</v>
      </c>
      <c r="C23" s="43">
        <f>'Ann 2'!$C$7*100000</f>
        <v>1500000</v>
      </c>
      <c r="D23" s="43">
        <f>'Ann 2'!$C$7*100000</f>
        <v>1500000</v>
      </c>
      <c r="E23" s="43">
        <f>'Ann 2'!$C$7*100000</f>
        <v>1500000</v>
      </c>
      <c r="F23" s="43">
        <f>'Ann 2'!$C$7*100000</f>
        <v>1500000</v>
      </c>
      <c r="G23" s="43">
        <f>'Ann 2'!$C$7*100000</f>
        <v>1500000</v>
      </c>
      <c r="H23" s="43">
        <f>'Ann 2'!$C$7*100000</f>
        <v>1500000</v>
      </c>
      <c r="I23" s="43">
        <f>'Ann 2'!$C$7*100000</f>
        <v>1500000</v>
      </c>
      <c r="J23" s="43">
        <f>'Ann 2'!$C$7*100000</f>
        <v>1500000</v>
      </c>
      <c r="K23" s="43">
        <f>'Ann 2'!$C$7*100000</f>
        <v>1500000</v>
      </c>
    </row>
    <row r="24" spans="1:13" x14ac:dyDescent="0.6">
      <c r="A24" s="24">
        <v>4</v>
      </c>
      <c r="B24" s="42" t="s">
        <v>166</v>
      </c>
      <c r="C24" s="43">
        <f>'Ann 4'!C7*60/360</f>
        <v>26275200</v>
      </c>
      <c r="D24" s="43">
        <f>'Ann 4'!D7*60/360</f>
        <v>28152000</v>
      </c>
      <c r="E24" s="43">
        <f>'Ann 4'!E7*60/360</f>
        <v>30028800</v>
      </c>
      <c r="F24" s="43">
        <f>'Ann 4'!F7*60/360</f>
        <v>31905600</v>
      </c>
      <c r="G24" s="43">
        <f>'Ann 4'!G7*60/360</f>
        <v>33782400</v>
      </c>
      <c r="H24" s="43">
        <f>'Ann 4'!H7*60/360</f>
        <v>35659200</v>
      </c>
      <c r="I24" s="43">
        <f>'Ann 4'!I7*60/360</f>
        <v>37536000</v>
      </c>
      <c r="J24" s="43">
        <f>'Ann 4'!J7*60/360</f>
        <v>37536000</v>
      </c>
      <c r="K24" s="43">
        <f>'Ann 4'!K7*60/360</f>
        <v>37536000</v>
      </c>
    </row>
    <row r="25" spans="1:13" x14ac:dyDescent="0.6">
      <c r="A25" s="24"/>
      <c r="B25" s="25" t="s">
        <v>137</v>
      </c>
      <c r="C25" s="40">
        <f t="shared" ref="C25:K25" si="5">SUM(C21:C24)</f>
        <v>34386537.438461535</v>
      </c>
      <c r="D25" s="40">
        <f t="shared" si="5"/>
        <v>35843878.681538455</v>
      </c>
      <c r="E25" s="40">
        <f t="shared" si="5"/>
        <v>37336065.09215384</v>
      </c>
      <c r="F25" s="40">
        <f t="shared" si="5"/>
        <v>38883627.860007688</v>
      </c>
      <c r="G25" s="40">
        <f t="shared" si="5"/>
        <v>40342176.530548997</v>
      </c>
      <c r="H25" s="40">
        <f t="shared" si="5"/>
        <v>41893045.714889057</v>
      </c>
      <c r="I25" s="40">
        <f t="shared" si="5"/>
        <v>43561989.826565459</v>
      </c>
      <c r="J25" s="40">
        <f t="shared" si="5"/>
        <v>44845421.625882693</v>
      </c>
      <c r="K25" s="40">
        <f t="shared" si="5"/>
        <v>46708770.45264256</v>
      </c>
    </row>
    <row r="26" spans="1:13" x14ac:dyDescent="0.6">
      <c r="A26" s="24"/>
      <c r="B26" s="25"/>
      <c r="C26" s="40"/>
      <c r="D26" s="40"/>
      <c r="E26" s="40"/>
      <c r="F26" s="40"/>
      <c r="G26" s="40"/>
      <c r="H26" s="40"/>
      <c r="I26" s="40"/>
      <c r="J26" s="40"/>
      <c r="K26" s="40"/>
      <c r="L26" s="47"/>
      <c r="M26" s="25"/>
    </row>
    <row r="27" spans="1:13" x14ac:dyDescent="0.6">
      <c r="A27" s="95"/>
      <c r="B27" s="96" t="s">
        <v>139</v>
      </c>
      <c r="C27" s="97"/>
      <c r="D27" s="97"/>
      <c r="E27" s="98"/>
      <c r="F27" s="98"/>
      <c r="G27" s="98"/>
      <c r="H27" s="98"/>
      <c r="I27" s="98"/>
      <c r="J27" s="98"/>
      <c r="K27" s="98"/>
    </row>
    <row r="28" spans="1:13" x14ac:dyDescent="0.6">
      <c r="A28" s="24"/>
      <c r="B28" s="25" t="s">
        <v>140</v>
      </c>
      <c r="C28" s="40">
        <f t="shared" ref="C28:K28" si="6">SUM(C13:C14)</f>
        <v>26905657.438461531</v>
      </c>
      <c r="D28" s="40">
        <f t="shared" si="6"/>
        <v>27225698.681538466</v>
      </c>
      <c r="E28" s="44">
        <f t="shared" si="6"/>
        <v>27342640.092153847</v>
      </c>
      <c r="F28" s="44">
        <f t="shared" si="6"/>
        <v>27292796.610007703</v>
      </c>
      <c r="G28" s="44">
        <f t="shared" si="6"/>
        <v>31550385.968049008</v>
      </c>
      <c r="H28" s="44">
        <f t="shared" si="6"/>
        <v>35958992.536764085</v>
      </c>
      <c r="I28" s="44">
        <f t="shared" si="6"/>
        <v>40554229.345159233</v>
      </c>
      <c r="J28" s="44">
        <f t="shared" si="6"/>
        <v>42794221.4646874</v>
      </c>
      <c r="K28" s="44">
        <f t="shared" si="6"/>
        <v>44930812.938826531</v>
      </c>
    </row>
    <row r="29" spans="1:13" x14ac:dyDescent="0.6">
      <c r="A29" s="24"/>
      <c r="B29" s="25" t="s">
        <v>141</v>
      </c>
      <c r="C29" s="40">
        <f>C24</f>
        <v>26275200</v>
      </c>
      <c r="D29" s="40">
        <f t="shared" ref="D29:K29" si="7">D24</f>
        <v>28152000</v>
      </c>
      <c r="E29" s="40">
        <f t="shared" si="7"/>
        <v>30028800</v>
      </c>
      <c r="F29" s="40">
        <f t="shared" si="7"/>
        <v>31905600</v>
      </c>
      <c r="G29" s="40">
        <f t="shared" si="7"/>
        <v>33782400</v>
      </c>
      <c r="H29" s="40">
        <f t="shared" si="7"/>
        <v>35659200</v>
      </c>
      <c r="I29" s="40">
        <f t="shared" si="7"/>
        <v>37536000</v>
      </c>
      <c r="J29" s="40">
        <f t="shared" si="7"/>
        <v>37536000</v>
      </c>
      <c r="K29" s="40">
        <f t="shared" si="7"/>
        <v>37536000</v>
      </c>
    </row>
    <row r="30" spans="1:13" x14ac:dyDescent="0.6">
      <c r="A30" s="24"/>
      <c r="B30" s="25" t="s">
        <v>146</v>
      </c>
      <c r="C30" s="9">
        <f>C28/C29</f>
        <v>1.0239943916111591</v>
      </c>
      <c r="D30" s="9">
        <f>D28/D29</f>
        <v>0.96709642943799612</v>
      </c>
      <c r="E30" s="10">
        <f t="shared" ref="E30:K30" si="8">E28/E29</f>
        <v>0.91054721108248904</v>
      </c>
      <c r="F30" s="10">
        <f t="shared" si="8"/>
        <v>0.85542339307230397</v>
      </c>
      <c r="G30" s="10">
        <f t="shared" si="8"/>
        <v>0.93392967841387853</v>
      </c>
      <c r="H30" s="10">
        <f t="shared" si="8"/>
        <v>1.0084071582302487</v>
      </c>
      <c r="I30" s="10">
        <f t="shared" si="8"/>
        <v>1.0804089233045404</v>
      </c>
      <c r="J30" s="10">
        <f t="shared" si="8"/>
        <v>1.1400847576909474</v>
      </c>
      <c r="K30" s="10">
        <f t="shared" si="8"/>
        <v>1.1970058860514314</v>
      </c>
    </row>
    <row r="31" spans="1:13" x14ac:dyDescent="0.6">
      <c r="A31" s="24"/>
      <c r="B31" s="42" t="s">
        <v>160</v>
      </c>
      <c r="C31" s="9"/>
      <c r="D31" s="9"/>
      <c r="E31" s="10"/>
      <c r="F31" s="10">
        <f>AVERAGE(C30:K30)</f>
        <v>1.0129886476549994</v>
      </c>
      <c r="G31" s="10"/>
      <c r="H31" s="10"/>
      <c r="I31" s="10"/>
      <c r="J31" s="10"/>
      <c r="K31" s="10"/>
    </row>
    <row r="32" spans="1:13" x14ac:dyDescent="0.6">
      <c r="A32" s="24"/>
      <c r="B32" s="25"/>
      <c r="C32" s="9"/>
      <c r="D32" s="9"/>
      <c r="E32" s="10"/>
      <c r="F32" s="10"/>
      <c r="G32" s="10"/>
      <c r="H32" s="10"/>
      <c r="I32" s="10"/>
      <c r="J32" s="10"/>
      <c r="K32" s="10"/>
    </row>
    <row r="33" spans="1:11" x14ac:dyDescent="0.6">
      <c r="A33" s="95"/>
      <c r="B33" s="96" t="s">
        <v>143</v>
      </c>
      <c r="C33" s="97"/>
      <c r="D33" s="97"/>
      <c r="E33" s="98"/>
      <c r="F33" s="98"/>
      <c r="G33" s="98"/>
      <c r="H33" s="98"/>
      <c r="I33" s="98"/>
      <c r="J33" s="98"/>
      <c r="K33" s="98"/>
    </row>
    <row r="34" spans="1:11" x14ac:dyDescent="0.6">
      <c r="A34" s="24"/>
      <c r="B34" s="25" t="s">
        <v>144</v>
      </c>
      <c r="C34" s="40">
        <f>C22+C23</f>
        <v>6844615.384615385</v>
      </c>
      <c r="D34" s="40">
        <f t="shared" ref="D34:K34" si="9">D22+D23</f>
        <v>5953846.1538461531</v>
      </c>
      <c r="E34" s="40">
        <f t="shared" si="9"/>
        <v>5063076.9230769221</v>
      </c>
      <c r="F34" s="40">
        <f t="shared" si="9"/>
        <v>4172307.6923076902</v>
      </c>
      <c r="G34" s="40">
        <f t="shared" si="9"/>
        <v>3281538.4615384587</v>
      </c>
      <c r="H34" s="40">
        <f t="shared" si="9"/>
        <v>2390769.2307692282</v>
      </c>
      <c r="I34" s="40">
        <f t="shared" si="9"/>
        <v>1500000</v>
      </c>
      <c r="J34" s="40">
        <f t="shared" si="9"/>
        <v>1500000</v>
      </c>
      <c r="K34" s="40">
        <f t="shared" si="9"/>
        <v>1500000</v>
      </c>
    </row>
    <row r="35" spans="1:11" x14ac:dyDescent="0.6">
      <c r="A35" s="24"/>
      <c r="B35" s="25" t="s">
        <v>145</v>
      </c>
      <c r="C35" s="40">
        <f t="shared" ref="C35:K35" si="10">C21</f>
        <v>1266722.0538461497</v>
      </c>
      <c r="D35" s="40">
        <f t="shared" si="10"/>
        <v>1738032.5276923035</v>
      </c>
      <c r="E35" s="44">
        <f t="shared" si="10"/>
        <v>2244188.1690769196</v>
      </c>
      <c r="F35" s="44">
        <f t="shared" si="10"/>
        <v>2805720.1676999964</v>
      </c>
      <c r="G35" s="44">
        <f t="shared" si="10"/>
        <v>3278238.0690105362</v>
      </c>
      <c r="H35" s="44">
        <f t="shared" si="10"/>
        <v>3843076.4841198321</v>
      </c>
      <c r="I35" s="44">
        <f t="shared" si="10"/>
        <v>4525989.8265654631</v>
      </c>
      <c r="J35" s="44">
        <f t="shared" si="10"/>
        <v>5809421.6258826945</v>
      </c>
      <c r="K35" s="44">
        <f t="shared" si="10"/>
        <v>7672770.4526425637</v>
      </c>
    </row>
    <row r="36" spans="1:11" x14ac:dyDescent="0.6">
      <c r="A36" s="24"/>
      <c r="B36" s="25" t="s">
        <v>146</v>
      </c>
      <c r="C36" s="9">
        <f>C34/C35</f>
        <v>5.4034074514082002</v>
      </c>
      <c r="D36" s="9">
        <f t="shared" ref="D36:K36" si="11">D34/D35</f>
        <v>3.4256241232443756</v>
      </c>
      <c r="E36" s="10">
        <f t="shared" si="11"/>
        <v>2.2560839562573172</v>
      </c>
      <c r="F36" s="10">
        <f t="shared" si="11"/>
        <v>1.4870719255398734</v>
      </c>
      <c r="G36" s="10">
        <f t="shared" si="11"/>
        <v>1.0010067580384481</v>
      </c>
      <c r="H36" s="10">
        <f t="shared" si="11"/>
        <v>0.62209774919865501</v>
      </c>
      <c r="I36" s="10">
        <f t="shared" si="11"/>
        <v>0.33141921601230634</v>
      </c>
      <c r="J36" s="10">
        <f t="shared" si="11"/>
        <v>0.25820126281023492</v>
      </c>
      <c r="K36" s="10">
        <f t="shared" si="11"/>
        <v>0.19549653013317869</v>
      </c>
    </row>
    <row r="37" spans="1:11" x14ac:dyDescent="0.6">
      <c r="A37" s="24"/>
      <c r="B37" s="42" t="s">
        <v>160</v>
      </c>
      <c r="C37" s="9"/>
      <c r="D37" s="9"/>
      <c r="E37" s="10"/>
      <c r="F37" s="10">
        <f>AVERAGE(C36:K36)</f>
        <v>1.6644898858491766</v>
      </c>
      <c r="G37" s="10"/>
      <c r="H37" s="10"/>
      <c r="I37" s="44"/>
      <c r="J37" s="44"/>
      <c r="K37" s="44"/>
    </row>
    <row r="38" spans="1:11" x14ac:dyDescent="0.6">
      <c r="A38" s="24"/>
      <c r="B38" s="25"/>
      <c r="C38" s="9"/>
      <c r="D38" s="9"/>
      <c r="E38" s="10"/>
      <c r="F38" s="10"/>
      <c r="G38" s="10"/>
      <c r="H38" s="10"/>
      <c r="I38" s="44"/>
      <c r="J38" s="44"/>
      <c r="K38" s="44"/>
    </row>
    <row r="39" spans="1:11" x14ac:dyDescent="0.6">
      <c r="A39" s="95"/>
      <c r="B39" s="96" t="s">
        <v>161</v>
      </c>
      <c r="C39" s="97"/>
      <c r="D39" s="97"/>
      <c r="E39" s="98"/>
      <c r="F39" s="98"/>
      <c r="G39" s="98"/>
      <c r="H39" s="98"/>
      <c r="I39" s="99"/>
      <c r="J39" s="99"/>
      <c r="K39" s="99"/>
    </row>
    <row r="40" spans="1:11" x14ac:dyDescent="0.6">
      <c r="A40" s="24"/>
      <c r="B40" s="42" t="s">
        <v>162</v>
      </c>
      <c r="C40" s="40">
        <f t="shared" ref="C40:K40" si="12">C11</f>
        <v>5690000</v>
      </c>
      <c r="D40" s="40">
        <f t="shared" si="12"/>
        <v>4908500</v>
      </c>
      <c r="E40" s="40">
        <f t="shared" si="12"/>
        <v>4237025</v>
      </c>
      <c r="F40" s="40">
        <f t="shared" si="12"/>
        <v>3659791.25</v>
      </c>
      <c r="G40" s="40">
        <f t="shared" si="12"/>
        <v>3163310.5625</v>
      </c>
      <c r="H40" s="40">
        <f t="shared" si="12"/>
        <v>2736053.1781250001</v>
      </c>
      <c r="I40" s="40">
        <f t="shared" si="12"/>
        <v>2368160.48140625</v>
      </c>
      <c r="J40" s="40">
        <f t="shared" si="12"/>
        <v>2051200.1611953126</v>
      </c>
      <c r="K40" s="40">
        <f t="shared" si="12"/>
        <v>1777957.5138160158</v>
      </c>
    </row>
    <row r="41" spans="1:11" x14ac:dyDescent="0.6">
      <c r="A41" s="24"/>
      <c r="B41" s="42" t="s">
        <v>144</v>
      </c>
      <c r="C41" s="40">
        <f t="shared" ref="C41:K41" si="13">C22+C23</f>
        <v>6844615.384615385</v>
      </c>
      <c r="D41" s="40">
        <f t="shared" si="13"/>
        <v>5953846.1538461531</v>
      </c>
      <c r="E41" s="40">
        <f t="shared" si="13"/>
        <v>5063076.9230769221</v>
      </c>
      <c r="F41" s="40">
        <f t="shared" si="13"/>
        <v>4172307.6923076902</v>
      </c>
      <c r="G41" s="40">
        <f t="shared" si="13"/>
        <v>3281538.4615384587</v>
      </c>
      <c r="H41" s="40">
        <f t="shared" si="13"/>
        <v>2390769.2307692282</v>
      </c>
      <c r="I41" s="40">
        <f t="shared" si="13"/>
        <v>1500000</v>
      </c>
      <c r="J41" s="40">
        <f t="shared" si="13"/>
        <v>1500000</v>
      </c>
      <c r="K41" s="40">
        <f t="shared" si="13"/>
        <v>1500000</v>
      </c>
    </row>
    <row r="42" spans="1:11" x14ac:dyDescent="0.6">
      <c r="A42" s="24"/>
      <c r="B42" s="42" t="s">
        <v>155</v>
      </c>
      <c r="C42" s="9">
        <f>C40/C41</f>
        <v>0.83131040683299617</v>
      </c>
      <c r="D42" s="9">
        <f t="shared" ref="D42:K42" si="14">D40/D41</f>
        <v>0.82442506459948328</v>
      </c>
      <c r="E42" s="9">
        <f t="shared" si="14"/>
        <v>0.83684784260103329</v>
      </c>
      <c r="F42" s="9">
        <f t="shared" si="14"/>
        <v>0.87716235711651958</v>
      </c>
      <c r="G42" s="9">
        <f t="shared" si="14"/>
        <v>0.96397180760665813</v>
      </c>
      <c r="H42" s="9">
        <f t="shared" si="14"/>
        <v>1.1444237875040231</v>
      </c>
      <c r="I42" s="9">
        <f t="shared" si="14"/>
        <v>1.5787736542708333</v>
      </c>
      <c r="J42" s="9">
        <f t="shared" si="14"/>
        <v>1.3674667741302085</v>
      </c>
      <c r="K42" s="9">
        <f t="shared" si="14"/>
        <v>1.1853050092106772</v>
      </c>
    </row>
    <row r="43" spans="1:11" x14ac:dyDescent="0.6">
      <c r="A43" s="24"/>
      <c r="B43" s="42"/>
      <c r="C43" s="9"/>
      <c r="D43" s="9"/>
      <c r="E43" s="10"/>
      <c r="F43" s="10">
        <f>AVERAGE(C42:K42)</f>
        <v>1.0677429670969372</v>
      </c>
      <c r="G43" s="10"/>
      <c r="H43" s="10"/>
      <c r="I43" s="10"/>
      <c r="J43" s="10"/>
      <c r="K43" s="10"/>
    </row>
    <row r="44" spans="1:11" x14ac:dyDescent="0.6">
      <c r="A44" s="24"/>
      <c r="B44" s="25"/>
      <c r="C44" s="9"/>
      <c r="D44" s="9"/>
      <c r="E44" s="10"/>
      <c r="F44" s="10"/>
      <c r="G44" s="10"/>
      <c r="H44" s="10"/>
      <c r="I44" s="44"/>
      <c r="J44" s="44"/>
      <c r="K44" s="44"/>
    </row>
    <row r="45" spans="1:11" x14ac:dyDescent="0.6">
      <c r="A45" s="95"/>
      <c r="B45" s="96" t="s">
        <v>152</v>
      </c>
      <c r="C45" s="97"/>
      <c r="D45" s="97"/>
      <c r="E45" s="98"/>
      <c r="F45" s="98"/>
      <c r="G45" s="98"/>
      <c r="H45" s="98"/>
      <c r="I45" s="99"/>
      <c r="J45" s="99"/>
      <c r="K45" s="99"/>
    </row>
    <row r="46" spans="1:11" x14ac:dyDescent="0.6">
      <c r="A46" s="24"/>
      <c r="B46" s="25" t="s">
        <v>153</v>
      </c>
      <c r="C46" s="43">
        <f>'Ann 4'!C28</f>
        <v>494059.61538461538</v>
      </c>
      <c r="D46" s="43">
        <f>'Ann 4'!D28</f>
        <v>450634.61538461532</v>
      </c>
      <c r="E46" s="43">
        <f>'Ann 4'!E28</f>
        <v>397188.46153846144</v>
      </c>
      <c r="F46" s="43">
        <f>'Ann 4'!F28</f>
        <v>343742.30769230757</v>
      </c>
      <c r="G46" s="43">
        <f>'Ann 4'!G28</f>
        <v>290296.1538461537</v>
      </c>
      <c r="H46" s="43">
        <f>'Ann 4'!H28</f>
        <v>236849.99999999983</v>
      </c>
      <c r="I46" s="43">
        <f>'Ann 4'!I28</f>
        <v>183403.84615384598</v>
      </c>
      <c r="J46" s="43">
        <f>'Ann 4'!J28</f>
        <v>150000</v>
      </c>
      <c r="K46" s="43">
        <f>'Ann 4'!K28</f>
        <v>150000</v>
      </c>
    </row>
    <row r="47" spans="1:11" x14ac:dyDescent="0.6">
      <c r="A47" s="24"/>
      <c r="B47" s="25" t="s">
        <v>156</v>
      </c>
      <c r="C47" s="43">
        <f>(SUM('Ann 13'!D9:D12)*100000)+('Ann 1'!$C$25*100000)</f>
        <v>1945384.6153846155</v>
      </c>
      <c r="D47" s="43">
        <f>(SUM('Ann 13'!D13:D16)*100000)+('Ann 1'!$C$25*100000)</f>
        <v>2390769.230769231</v>
      </c>
      <c r="E47" s="43">
        <f>(SUM('Ann 13'!D17:D20)*100000)+('Ann 1'!$C$25*100000)</f>
        <v>2390769.230769231</v>
      </c>
      <c r="F47" s="43">
        <f>(SUM('Ann 13'!D21:D24)*100000)+('Ann 1'!$C$25*100000)</f>
        <v>2390769.230769231</v>
      </c>
      <c r="G47" s="43">
        <f>(SUM('Ann 13'!D25:D28)*100000)+('Ann 1'!$C$25*100000)</f>
        <v>2390769.230769231</v>
      </c>
      <c r="H47" s="43">
        <f>(SUM('Ann 13'!D29:D32)*100000)+('Ann 1'!$C$25*100000)</f>
        <v>2390769.230769231</v>
      </c>
      <c r="I47" s="43">
        <f>(SUM('Ann 13'!D33:D36)*100000)+('Ann 1'!$C$25*100000)</f>
        <v>2390769.2307692282</v>
      </c>
      <c r="J47" s="43">
        <f>(SUM('Ann 13'!D37:D37)*100000)+('Ann 1'!$C$25*100000)</f>
        <v>1500000</v>
      </c>
      <c r="K47" s="43">
        <f>(SUM('Ann 13'!D38:D40)*100000)+('Ann 1'!$C$25*100000)</f>
        <v>1500000</v>
      </c>
    </row>
    <row r="48" spans="1:11" x14ac:dyDescent="0.6">
      <c r="A48" s="24"/>
      <c r="B48" s="25" t="s">
        <v>8</v>
      </c>
      <c r="C48" s="43">
        <f>SUM(C46:C47)</f>
        <v>2439444.230769231</v>
      </c>
      <c r="D48" s="43">
        <f t="shared" ref="D48:K48" si="15">SUM(D46:D47)</f>
        <v>2841403.8461538465</v>
      </c>
      <c r="E48" s="46">
        <f t="shared" si="15"/>
        <v>2787957.6923076925</v>
      </c>
      <c r="F48" s="46">
        <f t="shared" si="15"/>
        <v>2734511.5384615385</v>
      </c>
      <c r="G48" s="46">
        <f t="shared" si="15"/>
        <v>2681065.3846153845</v>
      </c>
      <c r="H48" s="46">
        <f t="shared" si="15"/>
        <v>2627619.230769231</v>
      </c>
      <c r="I48" s="46">
        <f t="shared" si="15"/>
        <v>2574173.0769230742</v>
      </c>
      <c r="J48" s="46">
        <f t="shared" si="15"/>
        <v>1650000</v>
      </c>
      <c r="K48" s="46">
        <f t="shared" si="15"/>
        <v>1650000</v>
      </c>
    </row>
    <row r="49" spans="1:11" x14ac:dyDescent="0.6">
      <c r="A49" s="24"/>
      <c r="B49" s="25" t="s">
        <v>154</v>
      </c>
      <c r="C49" s="43">
        <f>'Ann 4'!C23</f>
        <v>4666359.9999999702</v>
      </c>
      <c r="D49" s="43">
        <f>'Ann 4'!D23</f>
        <v>4598638</v>
      </c>
      <c r="E49" s="46">
        <f>'Ann 4'!E23</f>
        <v>4684060.900000006</v>
      </c>
      <c r="F49" s="46">
        <f>'Ann 4'!F23</f>
        <v>4931918.9050000012</v>
      </c>
      <c r="G49" s="46">
        <f>'Ann 4'!G23</f>
        <v>4161904.7078500092</v>
      </c>
      <c r="H49" s="46">
        <f>'Ann 4'!H23</f>
        <v>4698667.4922985435</v>
      </c>
      <c r="I49" s="46">
        <f>'Ann 4'!I23</f>
        <v>5429248.9889128208</v>
      </c>
      <c r="J49" s="46">
        <f>'Ann 4'!J23</f>
        <v>9634330.315334022</v>
      </c>
      <c r="K49" s="46">
        <f>'Ann 4'!K23</f>
        <v>13732877.124235511</v>
      </c>
    </row>
    <row r="50" spans="1:11" x14ac:dyDescent="0.6">
      <c r="A50" s="24"/>
      <c r="B50" s="25" t="s">
        <v>155</v>
      </c>
      <c r="C50" s="9">
        <f>C49/C48</f>
        <v>1.9128783274248187</v>
      </c>
      <c r="D50" s="9">
        <f t="shared" ref="D50:K50" si="16">D49/D48</f>
        <v>1.6184387186723788</v>
      </c>
      <c r="E50" s="10">
        <f t="shared" si="16"/>
        <v>1.6801047278887653</v>
      </c>
      <c r="F50" s="10">
        <f t="shared" si="16"/>
        <v>1.803583139303462</v>
      </c>
      <c r="G50" s="10">
        <f t="shared" si="16"/>
        <v>1.5523324167071966</v>
      </c>
      <c r="H50" s="10">
        <f t="shared" si="16"/>
        <v>1.7881843142558431</v>
      </c>
      <c r="I50" s="10">
        <f t="shared" si="16"/>
        <v>2.1091235230392655</v>
      </c>
      <c r="J50" s="10">
        <f t="shared" si="16"/>
        <v>5.8389880698994077</v>
      </c>
      <c r="K50" s="10">
        <f t="shared" si="16"/>
        <v>8.3229558328700062</v>
      </c>
    </row>
    <row r="51" spans="1:11" ht="17.5" thickBot="1" x14ac:dyDescent="0.65">
      <c r="A51" s="100"/>
      <c r="B51" s="101" t="s">
        <v>160</v>
      </c>
      <c r="C51" s="102"/>
      <c r="D51" s="102"/>
      <c r="E51" s="103"/>
      <c r="F51" s="103">
        <f>AVERAGE(D50:G50)</f>
        <v>1.6636147506429506</v>
      </c>
      <c r="G51" s="103"/>
      <c r="H51" s="103"/>
      <c r="I51" s="103"/>
      <c r="J51" s="103"/>
      <c r="K51" s="103"/>
    </row>
    <row r="52" spans="1:11" ht="17.5" thickTop="1" x14ac:dyDescent="0.6">
      <c r="I52" s="50"/>
      <c r="J52" s="50"/>
      <c r="K52" s="50"/>
    </row>
    <row r="54" spans="1:11" x14ac:dyDescent="0.6">
      <c r="A54" s="4" t="s">
        <v>254</v>
      </c>
    </row>
    <row r="55" spans="1:11" x14ac:dyDescent="0.6">
      <c r="A55" s="4" t="s">
        <v>142</v>
      </c>
    </row>
  </sheetData>
  <mergeCells count="3">
    <mergeCell ref="A5:A6"/>
    <mergeCell ref="B5:B6"/>
    <mergeCell ref="C5:K5"/>
  </mergeCells>
  <pageMargins left="0.7" right="0.7" top="0.75" bottom="0.75" header="0.3" footer="0.3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1FBF-6FFA-405B-9A95-302F8FAA33B6}">
  <dimension ref="A1:E17"/>
  <sheetViews>
    <sheetView workbookViewId="0"/>
  </sheetViews>
  <sheetFormatPr defaultRowHeight="17" x14ac:dyDescent="0.6"/>
  <cols>
    <col min="1" max="1" width="5.6328125" style="4" bestFit="1" customWidth="1"/>
    <col min="2" max="2" width="26.08984375" style="4" bestFit="1" customWidth="1"/>
    <col min="3" max="3" width="8.7265625" style="4"/>
    <col min="4" max="4" width="25" style="4" bestFit="1" customWidth="1"/>
    <col min="5" max="5" width="12.54296875" style="4" bestFit="1" customWidth="1"/>
    <col min="6" max="16384" width="8.7265625" style="4"/>
  </cols>
  <sheetData>
    <row r="1" spans="1:5" x14ac:dyDescent="0.6">
      <c r="A1" s="3" t="s">
        <v>262</v>
      </c>
    </row>
    <row r="3" spans="1:5" x14ac:dyDescent="0.6">
      <c r="A3" s="51" t="s">
        <v>164</v>
      </c>
    </row>
    <row r="5" spans="1:5" x14ac:dyDescent="0.6">
      <c r="A5" s="22" t="s">
        <v>52</v>
      </c>
      <c r="B5" s="22" t="s">
        <v>53</v>
      </c>
      <c r="C5" s="22" t="s">
        <v>54</v>
      </c>
      <c r="D5" s="22" t="s">
        <v>55</v>
      </c>
      <c r="E5" s="22" t="s">
        <v>251</v>
      </c>
    </row>
    <row r="6" spans="1:5" x14ac:dyDescent="0.6">
      <c r="A6" s="34" t="s">
        <v>56</v>
      </c>
      <c r="B6" s="34" t="s">
        <v>199</v>
      </c>
      <c r="C6" s="34">
        <v>4</v>
      </c>
      <c r="D6" s="33">
        <v>18000</v>
      </c>
      <c r="E6" s="33">
        <f>D6*C6*12</f>
        <v>864000</v>
      </c>
    </row>
    <row r="7" spans="1:5" x14ac:dyDescent="0.6">
      <c r="A7" s="5" t="s">
        <v>57</v>
      </c>
      <c r="B7" s="5" t="s">
        <v>60</v>
      </c>
      <c r="C7" s="5">
        <v>1</v>
      </c>
      <c r="D7" s="33">
        <v>25000</v>
      </c>
      <c r="E7" s="33">
        <f>D7*C7*12</f>
        <v>300000</v>
      </c>
    </row>
    <row r="8" spans="1:5" x14ac:dyDescent="0.6">
      <c r="A8" s="5" t="s">
        <v>61</v>
      </c>
      <c r="B8" s="5" t="s">
        <v>250</v>
      </c>
      <c r="C8" s="5">
        <v>4</v>
      </c>
      <c r="D8" s="33">
        <v>12000</v>
      </c>
      <c r="E8" s="33">
        <f>D8*C8*12</f>
        <v>576000</v>
      </c>
    </row>
    <row r="9" spans="1:5" x14ac:dyDescent="0.6">
      <c r="A9" s="5" t="s">
        <v>249</v>
      </c>
      <c r="B9" s="5" t="s">
        <v>165</v>
      </c>
      <c r="C9" s="5">
        <v>2</v>
      </c>
      <c r="D9" s="33">
        <v>9400</v>
      </c>
      <c r="E9" s="33">
        <f>D9*C9*12</f>
        <v>225600</v>
      </c>
    </row>
    <row r="10" spans="1:5" x14ac:dyDescent="0.6">
      <c r="A10" s="120" t="s">
        <v>8</v>
      </c>
      <c r="B10" s="120"/>
      <c r="C10" s="120"/>
      <c r="D10" s="120"/>
      <c r="E10" s="52">
        <f>SUM(E6:E9)</f>
        <v>1965600</v>
      </c>
    </row>
    <row r="11" spans="1:5" x14ac:dyDescent="0.6">
      <c r="A11" s="36"/>
      <c r="B11" s="53"/>
      <c r="C11" s="53"/>
      <c r="D11" s="53"/>
      <c r="E11" s="39"/>
    </row>
    <row r="12" spans="1:5" x14ac:dyDescent="0.6">
      <c r="A12" s="48" t="s">
        <v>252</v>
      </c>
      <c r="B12" s="49"/>
      <c r="C12" s="49"/>
      <c r="D12" s="49"/>
      <c r="E12" s="54">
        <f>E10*15%</f>
        <v>294840</v>
      </c>
    </row>
    <row r="13" spans="1:5" x14ac:dyDescent="0.6">
      <c r="A13" s="28" t="s">
        <v>8</v>
      </c>
      <c r="B13" s="29"/>
      <c r="C13" s="29"/>
      <c r="D13" s="29"/>
      <c r="E13" s="55">
        <f>SUM(E10:E12)</f>
        <v>2260440</v>
      </c>
    </row>
    <row r="15" spans="1:5" x14ac:dyDescent="0.6">
      <c r="A15" s="4" t="s">
        <v>58</v>
      </c>
      <c r="E15" s="50">
        <f>E13</f>
        <v>2260440</v>
      </c>
    </row>
    <row r="16" spans="1:5" x14ac:dyDescent="0.6">
      <c r="A16" s="4" t="s">
        <v>59</v>
      </c>
      <c r="E16" s="56">
        <v>0.05</v>
      </c>
    </row>
    <row r="17" spans="1:5" x14ac:dyDescent="0.6">
      <c r="A17" s="4" t="s">
        <v>167</v>
      </c>
      <c r="E17" s="4">
        <f>SUM(C6:C9)</f>
        <v>11</v>
      </c>
    </row>
  </sheetData>
  <mergeCells count="1">
    <mergeCell ref="A10:D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B57-BA66-499F-8B17-ED356988118B}">
  <sheetPr>
    <pageSetUpPr fitToPage="1"/>
  </sheetPr>
  <dimension ref="A1:F22"/>
  <sheetViews>
    <sheetView workbookViewId="0"/>
  </sheetViews>
  <sheetFormatPr defaultRowHeight="17" x14ac:dyDescent="0.6"/>
  <cols>
    <col min="1" max="1" width="6.36328125" style="4" bestFit="1" customWidth="1"/>
    <col min="2" max="2" width="18.81640625" style="4" bestFit="1" customWidth="1"/>
    <col min="3" max="3" width="19.453125" style="4" bestFit="1" customWidth="1"/>
    <col min="4" max="4" width="18.08984375" style="4" bestFit="1" customWidth="1"/>
    <col min="5" max="5" width="14.453125" style="4" bestFit="1" customWidth="1"/>
    <col min="6" max="6" width="26.453125" style="4" bestFit="1" customWidth="1"/>
    <col min="7" max="16384" width="8.7265625" style="4"/>
  </cols>
  <sheetData>
    <row r="1" spans="1:6" x14ac:dyDescent="0.6">
      <c r="A1" s="3" t="s">
        <v>63</v>
      </c>
    </row>
    <row r="3" spans="1:6" x14ac:dyDescent="0.6">
      <c r="A3" s="51" t="s">
        <v>62</v>
      </c>
    </row>
    <row r="5" spans="1:6" x14ac:dyDescent="0.6">
      <c r="A5" s="22" t="s">
        <v>24</v>
      </c>
      <c r="B5" s="22" t="s">
        <v>3</v>
      </c>
      <c r="C5" s="22" t="s">
        <v>66</v>
      </c>
      <c r="D5" s="22" t="s">
        <v>11</v>
      </c>
      <c r="E5" s="22" t="s">
        <v>67</v>
      </c>
      <c r="F5" s="22" t="s">
        <v>68</v>
      </c>
    </row>
    <row r="6" spans="1:6" x14ac:dyDescent="0.6">
      <c r="A6" s="5" t="s">
        <v>56</v>
      </c>
      <c r="B6" s="5" t="s">
        <v>13</v>
      </c>
      <c r="C6" s="33">
        <f>'Ann 1'!C12*100000</f>
        <v>1600000</v>
      </c>
      <c r="D6" s="33">
        <f>('Ann 1'!C20+'Ann 1'!C37)*100000</f>
        <v>5000000</v>
      </c>
      <c r="E6" s="33">
        <v>0</v>
      </c>
      <c r="F6" s="5">
        <f>SUM(C6:E6)/100000</f>
        <v>66</v>
      </c>
    </row>
    <row r="7" spans="1:6" x14ac:dyDescent="0.6">
      <c r="A7" s="5" t="s">
        <v>57</v>
      </c>
      <c r="B7" s="5" t="s">
        <v>64</v>
      </c>
      <c r="C7" s="33">
        <v>0</v>
      </c>
      <c r="D7" s="33">
        <v>0</v>
      </c>
      <c r="E7" s="33">
        <v>0</v>
      </c>
      <c r="F7" s="33">
        <f>SUM(C7:E7)/100000</f>
        <v>0</v>
      </c>
    </row>
    <row r="8" spans="1:6" x14ac:dyDescent="0.6">
      <c r="A8" s="5" t="s">
        <v>61</v>
      </c>
      <c r="B8" s="5" t="s">
        <v>65</v>
      </c>
      <c r="C8" s="33">
        <v>0</v>
      </c>
      <c r="D8" s="33">
        <v>0</v>
      </c>
      <c r="E8" s="33">
        <v>0</v>
      </c>
      <c r="F8" s="33">
        <f>SUM(C8:E8)/100000</f>
        <v>0</v>
      </c>
    </row>
    <row r="9" spans="1:6" x14ac:dyDescent="0.6">
      <c r="A9" s="5"/>
      <c r="B9" s="120" t="s">
        <v>8</v>
      </c>
      <c r="C9" s="120"/>
      <c r="D9" s="120"/>
      <c r="E9" s="120"/>
      <c r="F9" s="5">
        <f>SUM(F6:F8)</f>
        <v>66</v>
      </c>
    </row>
    <row r="11" spans="1:6" x14ac:dyDescent="0.6">
      <c r="A11" s="5"/>
      <c r="B11" s="5" t="s">
        <v>69</v>
      </c>
      <c r="C11" s="57">
        <v>0.1</v>
      </c>
      <c r="D11" s="57">
        <v>0.15</v>
      </c>
      <c r="E11" s="57">
        <v>0.1</v>
      </c>
      <c r="F11" s="5" t="s">
        <v>198</v>
      </c>
    </row>
    <row r="12" spans="1:6" x14ac:dyDescent="0.6">
      <c r="A12" s="58" t="s">
        <v>70</v>
      </c>
      <c r="B12" s="59">
        <v>1</v>
      </c>
      <c r="C12" s="60">
        <f>C11*C6</f>
        <v>160000</v>
      </c>
      <c r="D12" s="60">
        <f>D11*D6</f>
        <v>750000</v>
      </c>
      <c r="E12" s="60">
        <f>E11*E6</f>
        <v>0</v>
      </c>
      <c r="F12" s="60">
        <f>SUM(C12:E12)</f>
        <v>910000</v>
      </c>
    </row>
    <row r="13" spans="1:6" x14ac:dyDescent="0.6">
      <c r="A13" s="58" t="s">
        <v>70</v>
      </c>
      <c r="B13" s="59">
        <v>2</v>
      </c>
      <c r="C13" s="60">
        <f>(C6-C12)*C11</f>
        <v>144000</v>
      </c>
      <c r="D13" s="60">
        <f>(D6-D12)*D11</f>
        <v>637500</v>
      </c>
      <c r="E13" s="60">
        <f>(E6-E12)*E11</f>
        <v>0</v>
      </c>
      <c r="F13" s="60">
        <f>SUM(C13:E13)</f>
        <v>781500</v>
      </c>
    </row>
    <row r="14" spans="1:6" x14ac:dyDescent="0.6">
      <c r="A14" s="58" t="s">
        <v>70</v>
      </c>
      <c r="B14" s="59">
        <v>3</v>
      </c>
      <c r="C14" s="60">
        <f>(C6-C12-C13)*C11</f>
        <v>129600</v>
      </c>
      <c r="D14" s="60">
        <f>(D6-D12-D13)*D11</f>
        <v>541875</v>
      </c>
      <c r="E14" s="60">
        <f>(E6-E12-E13)*E11</f>
        <v>0</v>
      </c>
      <c r="F14" s="60">
        <f t="shared" ref="F14:F20" si="0">SUM(C14:E14)</f>
        <v>671475</v>
      </c>
    </row>
    <row r="15" spans="1:6" x14ac:dyDescent="0.6">
      <c r="A15" s="58" t="s">
        <v>70</v>
      </c>
      <c r="B15" s="59">
        <v>4</v>
      </c>
      <c r="C15" s="60">
        <f>(C6-C12-C13-C14)*C11</f>
        <v>116640</v>
      </c>
      <c r="D15" s="60">
        <f>(D6-D12-D13-D14)*D11</f>
        <v>460593.75</v>
      </c>
      <c r="E15" s="60">
        <f>(E6-E12-E13-E14)*E11</f>
        <v>0</v>
      </c>
      <c r="F15" s="60">
        <f t="shared" si="0"/>
        <v>577233.75</v>
      </c>
    </row>
    <row r="16" spans="1:6" x14ac:dyDescent="0.6">
      <c r="A16" s="58" t="s">
        <v>70</v>
      </c>
      <c r="B16" s="59">
        <v>5</v>
      </c>
      <c r="C16" s="60">
        <f>(C6-C12-C13-C14-C15)*C11</f>
        <v>104976</v>
      </c>
      <c r="D16" s="60">
        <f>(D6-D12-D13-D14-D15)*D11</f>
        <v>391504.6875</v>
      </c>
      <c r="E16" s="60">
        <f>(E6-E12-E13-E14-E15)*E11</f>
        <v>0</v>
      </c>
      <c r="F16" s="60">
        <f t="shared" si="0"/>
        <v>496480.6875</v>
      </c>
    </row>
    <row r="17" spans="1:6" x14ac:dyDescent="0.6">
      <c r="A17" s="58" t="s">
        <v>70</v>
      </c>
      <c r="B17" s="59">
        <v>6</v>
      </c>
      <c r="C17" s="60">
        <f>(C6-C12-C13-C14-C15-C16)*C11</f>
        <v>94478.400000000009</v>
      </c>
      <c r="D17" s="60">
        <f>(D6-D12-D13-D14-D15-D16)*D11</f>
        <v>332778.984375</v>
      </c>
      <c r="E17" s="60">
        <f>(E6-E12-E13-E14-E15-E16)*E11</f>
        <v>0</v>
      </c>
      <c r="F17" s="60">
        <f t="shared" si="0"/>
        <v>427257.38437500002</v>
      </c>
    </row>
    <row r="18" spans="1:6" x14ac:dyDescent="0.6">
      <c r="A18" s="58" t="s">
        <v>70</v>
      </c>
      <c r="B18" s="59">
        <v>7</v>
      </c>
      <c r="C18" s="60">
        <f>(C6-C12-C13-C14-C15-C16-C17)*C11</f>
        <v>85030.56</v>
      </c>
      <c r="D18" s="60">
        <f>(D6-D12-D13-D14-D15-D16-D17)*D11</f>
        <v>282862.13671875</v>
      </c>
      <c r="E18" s="60">
        <f>(E6-E12-E13-E14-E15-E16-E17)*E11</f>
        <v>0</v>
      </c>
      <c r="F18" s="60">
        <f t="shared" si="0"/>
        <v>367892.69671875</v>
      </c>
    </row>
    <row r="19" spans="1:6" x14ac:dyDescent="0.6">
      <c r="A19" s="58" t="s">
        <v>70</v>
      </c>
      <c r="B19" s="59">
        <v>8</v>
      </c>
      <c r="C19" s="60">
        <f>(C6-C12-C13-C14-C15-C16-C17-C18)*C11</f>
        <v>76527.504000000001</v>
      </c>
      <c r="D19" s="60">
        <f>(D6-D12-D13-D14-D15-D16-D17-D18)*D11</f>
        <v>240432.81621093748</v>
      </c>
      <c r="E19" s="60">
        <f>(E6-E12-E13-E14-E15-E16-E17-E18)*E11</f>
        <v>0</v>
      </c>
      <c r="F19" s="60">
        <f t="shared" si="0"/>
        <v>316960.32021093747</v>
      </c>
    </row>
    <row r="20" spans="1:6" x14ac:dyDescent="0.6">
      <c r="A20" s="58" t="s">
        <v>70</v>
      </c>
      <c r="B20" s="59">
        <v>9</v>
      </c>
      <c r="C20" s="60">
        <f>(C6-C12-C13-C14-C15-C16-C17-C18-C19)*C11</f>
        <v>68874.753600000011</v>
      </c>
      <c r="D20" s="60">
        <f>(D6-D12-D13-D14-D15-D16-D17-D18-D19)*D11</f>
        <v>204367.89377929686</v>
      </c>
      <c r="E20" s="60">
        <f>(E6-E12-E13-E14-E15-E16-E17-E18-E19)*E11</f>
        <v>0</v>
      </c>
      <c r="F20" s="60">
        <f t="shared" si="0"/>
        <v>273242.64737929689</v>
      </c>
    </row>
    <row r="21" spans="1:6" x14ac:dyDescent="0.6">
      <c r="B21" s="18"/>
    </row>
    <row r="22" spans="1:6" x14ac:dyDescent="0.6">
      <c r="A22" s="61"/>
    </row>
  </sheetData>
  <mergeCells count="1">
    <mergeCell ref="B9:E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521A-756D-4D90-8C99-73BDFD6A7811}">
  <sheetPr>
    <pageSetUpPr fitToPage="1"/>
  </sheetPr>
  <dimension ref="A1:J14"/>
  <sheetViews>
    <sheetView workbookViewId="0"/>
  </sheetViews>
  <sheetFormatPr defaultRowHeight="17" x14ac:dyDescent="0.6"/>
  <cols>
    <col min="1" max="1" width="20.90625" style="4" customWidth="1"/>
    <col min="2" max="10" width="13.6328125" style="4" bestFit="1" customWidth="1"/>
    <col min="11" max="16384" width="8.7265625" style="4"/>
  </cols>
  <sheetData>
    <row r="1" spans="1:10" x14ac:dyDescent="0.6">
      <c r="A1" s="3" t="s">
        <v>112</v>
      </c>
    </row>
    <row r="3" spans="1:10" x14ac:dyDescent="0.6">
      <c r="A3" s="51" t="s">
        <v>113</v>
      </c>
    </row>
    <row r="5" spans="1:10" x14ac:dyDescent="0.6">
      <c r="A5" s="119" t="s">
        <v>3</v>
      </c>
      <c r="B5" s="118" t="s">
        <v>48</v>
      </c>
      <c r="C5" s="118"/>
      <c r="D5" s="118"/>
      <c r="E5" s="118"/>
      <c r="F5" s="118"/>
      <c r="G5" s="118"/>
      <c r="H5" s="118"/>
      <c r="I5" s="118"/>
      <c r="J5" s="118"/>
    </row>
    <row r="6" spans="1:10" x14ac:dyDescent="0.6">
      <c r="A6" s="119"/>
      <c r="B6" s="35" t="s">
        <v>39</v>
      </c>
      <c r="C6" s="35" t="s">
        <v>40</v>
      </c>
      <c r="D6" s="35" t="s">
        <v>41</v>
      </c>
      <c r="E6" s="35" t="s">
        <v>42</v>
      </c>
      <c r="F6" s="35" t="s">
        <v>43</v>
      </c>
      <c r="G6" s="35" t="s">
        <v>44</v>
      </c>
      <c r="H6" s="35" t="s">
        <v>45</v>
      </c>
      <c r="I6" s="35" t="s">
        <v>46</v>
      </c>
      <c r="J6" s="35" t="s">
        <v>47</v>
      </c>
    </row>
    <row r="7" spans="1:10" x14ac:dyDescent="0.6">
      <c r="A7" s="5" t="s">
        <v>114</v>
      </c>
      <c r="B7" s="33">
        <f>'Ann 4'!C30</f>
        <v>4172300.3846153547</v>
      </c>
      <c r="C7" s="33">
        <f>'Ann 4'!D30</f>
        <v>4148003.3846153845</v>
      </c>
      <c r="D7" s="33">
        <f>'Ann 4'!E30</f>
        <v>4286872.4384615449</v>
      </c>
      <c r="E7" s="33">
        <f>'Ann 4'!F30</f>
        <v>4588176.5973076932</v>
      </c>
      <c r="F7" s="33">
        <f>'Ann 4'!G30</f>
        <v>3871608.5540038557</v>
      </c>
      <c r="G7" s="33">
        <f>'Ann 4'!H30</f>
        <v>4461817.4922985435</v>
      </c>
      <c r="H7" s="33">
        <f>'Ann 4'!I30</f>
        <v>5245845.1427589748</v>
      </c>
      <c r="I7" s="33">
        <f>'Ann 4'!J30</f>
        <v>9484330.315334022</v>
      </c>
      <c r="J7" s="33">
        <f>'Ann 4'!K30</f>
        <v>13582877.124235511</v>
      </c>
    </row>
    <row r="8" spans="1:10" x14ac:dyDescent="0.6">
      <c r="A8" s="5" t="s">
        <v>115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</row>
    <row r="9" spans="1:10" x14ac:dyDescent="0.6">
      <c r="A9" s="5" t="s">
        <v>116</v>
      </c>
      <c r="B9" s="33">
        <f>B7+B8</f>
        <v>4172300.3846153547</v>
      </c>
      <c r="C9" s="33">
        <f t="shared" ref="C9:J9" si="0">C7+C8</f>
        <v>4148003.3846153845</v>
      </c>
      <c r="D9" s="33">
        <f t="shared" si="0"/>
        <v>4286872.4384615449</v>
      </c>
      <c r="E9" s="33">
        <f t="shared" si="0"/>
        <v>4588176.5973076932</v>
      </c>
      <c r="F9" s="33">
        <f t="shared" si="0"/>
        <v>3871608.5540038557</v>
      </c>
      <c r="G9" s="33">
        <f t="shared" si="0"/>
        <v>4461817.4922985435</v>
      </c>
      <c r="H9" s="33">
        <f t="shared" si="0"/>
        <v>5245845.1427589748</v>
      </c>
      <c r="I9" s="33">
        <f t="shared" si="0"/>
        <v>9484330.315334022</v>
      </c>
      <c r="J9" s="33">
        <f t="shared" si="0"/>
        <v>13582877.124235511</v>
      </c>
    </row>
    <row r="10" spans="1:10" x14ac:dyDescent="0.6">
      <c r="A10" s="5" t="s">
        <v>117</v>
      </c>
      <c r="B10" s="33">
        <f>SUM('Ann 9'!C12:E12)</f>
        <v>910000</v>
      </c>
      <c r="C10" s="33">
        <f>SUM('Ann 9'!C13:E13)</f>
        <v>781500</v>
      </c>
      <c r="D10" s="33">
        <f>SUM('Ann 9'!C14:E14)</f>
        <v>671475</v>
      </c>
      <c r="E10" s="33">
        <f>SUM('Ann 9'!C15:E15)</f>
        <v>577233.75</v>
      </c>
      <c r="F10" s="33">
        <f>SUM('Ann 9'!C16:E16)</f>
        <v>496480.6875</v>
      </c>
      <c r="G10" s="33">
        <f>SUM('Ann 9'!C17:E17)</f>
        <v>427257.38437500002</v>
      </c>
      <c r="H10" s="33">
        <f>SUM('Ann 9'!C18:E18)</f>
        <v>367892.69671875</v>
      </c>
      <c r="I10" s="33">
        <f>SUM('Ann 9'!C19:E19)</f>
        <v>316960.32021093747</v>
      </c>
      <c r="J10" s="33">
        <f>SUM('Ann 9'!C20:E20)</f>
        <v>273242.64737929689</v>
      </c>
    </row>
    <row r="11" spans="1:10" x14ac:dyDescent="0.6">
      <c r="A11" s="5" t="s">
        <v>116</v>
      </c>
      <c r="B11" s="33">
        <f>B9-B10</f>
        <v>3262300.3846153547</v>
      </c>
      <c r="C11" s="33">
        <f t="shared" ref="C11:J11" si="1">C9-C10</f>
        <v>3366503.3846153845</v>
      </c>
      <c r="D11" s="33">
        <f t="shared" si="1"/>
        <v>3615397.4384615449</v>
      </c>
      <c r="E11" s="33">
        <f t="shared" si="1"/>
        <v>4010942.8473076932</v>
      </c>
      <c r="F11" s="33">
        <f t="shared" si="1"/>
        <v>3375127.8665038557</v>
      </c>
      <c r="G11" s="33">
        <f t="shared" si="1"/>
        <v>4034560.1079235435</v>
      </c>
      <c r="H11" s="33">
        <f t="shared" si="1"/>
        <v>4877952.4460402252</v>
      </c>
      <c r="I11" s="33">
        <f t="shared" si="1"/>
        <v>9167369.9951230846</v>
      </c>
      <c r="J11" s="33">
        <f t="shared" si="1"/>
        <v>13309634.476856213</v>
      </c>
    </row>
    <row r="12" spans="1:10" x14ac:dyDescent="0.6">
      <c r="A12" s="5" t="s">
        <v>118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</row>
    <row r="13" spans="1:10" x14ac:dyDescent="0.6">
      <c r="A13" s="5" t="s">
        <v>119</v>
      </c>
      <c r="B13" s="52">
        <f>B11</f>
        <v>3262300.3846153547</v>
      </c>
      <c r="C13" s="52">
        <f t="shared" ref="C13:J13" si="2">C11</f>
        <v>3366503.3846153845</v>
      </c>
      <c r="D13" s="52">
        <f t="shared" si="2"/>
        <v>3615397.4384615449</v>
      </c>
      <c r="E13" s="52">
        <f t="shared" si="2"/>
        <v>4010942.8473076932</v>
      </c>
      <c r="F13" s="52">
        <f t="shared" si="2"/>
        <v>3375127.8665038557</v>
      </c>
      <c r="G13" s="52">
        <f t="shared" si="2"/>
        <v>4034560.1079235435</v>
      </c>
      <c r="H13" s="52">
        <f t="shared" si="2"/>
        <v>4877952.4460402252</v>
      </c>
      <c r="I13" s="52">
        <f t="shared" si="2"/>
        <v>9167369.9951230846</v>
      </c>
      <c r="J13" s="52">
        <f t="shared" si="2"/>
        <v>13309634.476856213</v>
      </c>
    </row>
    <row r="14" spans="1:10" x14ac:dyDescent="0.6">
      <c r="A14" s="5" t="s">
        <v>120</v>
      </c>
      <c r="B14" s="52">
        <f>B13*30%</f>
        <v>978690.11538460641</v>
      </c>
      <c r="C14" s="52">
        <f t="shared" ref="C14:J14" si="3">C13*30%</f>
        <v>1009951.0153846153</v>
      </c>
      <c r="D14" s="52">
        <f t="shared" si="3"/>
        <v>1084619.2315384634</v>
      </c>
      <c r="E14" s="52">
        <f t="shared" si="3"/>
        <v>1203282.8541923079</v>
      </c>
      <c r="F14" s="52">
        <f t="shared" si="3"/>
        <v>1012538.3599511567</v>
      </c>
      <c r="G14" s="52">
        <f t="shared" si="3"/>
        <v>1210368.0323770631</v>
      </c>
      <c r="H14" s="52">
        <f t="shared" si="3"/>
        <v>1463385.7338120674</v>
      </c>
      <c r="I14" s="52">
        <f t="shared" si="3"/>
        <v>2750210.9985369253</v>
      </c>
      <c r="J14" s="52">
        <f t="shared" si="3"/>
        <v>3992890.3430568636</v>
      </c>
    </row>
  </sheetData>
  <mergeCells count="2">
    <mergeCell ref="B5:J5"/>
    <mergeCell ref="A5:A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Contents</vt:lpstr>
      <vt:lpstr>Ann 1</vt:lpstr>
      <vt:lpstr>Ann 2</vt:lpstr>
      <vt:lpstr>Ann 3</vt:lpstr>
      <vt:lpstr>Ann 4</vt:lpstr>
      <vt:lpstr>Ann 5</vt:lpstr>
      <vt:lpstr>Ann 8</vt:lpstr>
      <vt:lpstr>Ann 9</vt:lpstr>
      <vt:lpstr>Ann 10</vt:lpstr>
      <vt:lpstr>Ann 11</vt:lpstr>
      <vt:lpstr>Ann 12</vt:lpstr>
      <vt:lpstr>Ann 13</vt:lpstr>
      <vt:lpstr>Ann 14</vt:lpstr>
      <vt:lpstr>Budgets</vt:lpstr>
      <vt:lpstr>For word file</vt:lpstr>
      <vt:lpstr>Assumptions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Navodita Arya</dc:creator>
  <cp:lastModifiedBy>Navodita Arya</cp:lastModifiedBy>
  <cp:lastPrinted>2021-11-12T11:57:37Z</cp:lastPrinted>
  <dcterms:created xsi:type="dcterms:W3CDTF">2021-07-04T07:21:16Z</dcterms:created>
  <dcterms:modified xsi:type="dcterms:W3CDTF">2021-11-12T11:58:04Z</dcterms:modified>
</cp:coreProperties>
</file>